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1qTHdx0plfCdx8w1BqrAymCwcL+WqKJ5bn/I3nCbAafSBS5LmpNt3BDioDO5CVIY15DcANlSxoO0iTltNJDn2g==" workbookSaltValue="q8jh/0CZTNQiTWOZnfcb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I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J32" i="20"/>
  <c r="Q32" i="20"/>
  <c r="AE32" i="20"/>
  <c r="AZ32" i="20"/>
  <c r="O18" i="11"/>
  <c r="W32" i="20"/>
  <c r="F28" i="2" l="1"/>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U10" i="17"/>
  <c r="BV10" i="16"/>
  <c r="BU18" i="17"/>
  <c r="V12" i="16"/>
  <c r="BU12" i="17"/>
  <c r="S28" i="17"/>
  <c r="T16" i="11"/>
  <c r="Q18" i="17"/>
  <c r="BH10" i="11"/>
  <c r="AQ10" i="21"/>
  <c r="AO29" i="17"/>
  <c r="BH25" i="11"/>
  <c r="BI21" i="11"/>
  <c r="L28" i="2"/>
  <c r="L18" i="2"/>
  <c r="AA11" i="16"/>
  <c r="V25" i="16"/>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Q17" i="11" s="1"/>
  <c r="BM21" i="11"/>
  <c r="AO25" i="17"/>
  <c r="BK10" i="11"/>
  <c r="L10" i="2"/>
  <c r="X21" i="20"/>
  <c r="L16" i="2"/>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A31"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<sst xmlns="http://schemas.openxmlformats.org/spreadsheetml/2006/main" count="2682" uniqueCount="1193">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</sst>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4jCs393sN579i97ZWgzhx8yLkOF/ac3UKjWpQR07wJ+uCItOb6uTgKAUtUJTnLh41CwJEgIRsOBqjFPJeN2+A==" saltValue="OvlBafxVg7/tpKqQ8cM3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9</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-0.8</v>
      </c>
      <c r="L10" s="1402">
        <f>IF(ISNUMBER(NºAsuntos!I10/NºAsuntos!G10),(NºAsuntos!I10/NºAsuntos!G10)*11," - ")</f>
        <v>1.2222222222222221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12.510989010989011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268</v>
      </c>
      <c r="D17" s="239">
        <f>IF(ISNUMBER(IF(D_I="SI",Datos!I17,Datos!I17+Datos!AC17)),IF(D_I="SI",Datos!I17,Datos!I17+Datos!AC17)," - ")</f>
        <v>216</v>
      </c>
      <c r="E17" s="240">
        <f>IF(ISNUMBER(IF(D_I="SI",Datos!J17,Datos!J17+Datos!AD17)),IF(D_I="SI",Datos!J17,Datos!J17+Datos!AD17)," - ")</f>
        <v>2070</v>
      </c>
      <c r="F17" s="240">
        <f>IF(ISNUMBER(IF(D_I="SI",Datos!K17,Datos!K17+Datos!AE17)),IF(D_I="SI",Datos!K17,Datos!K17+Datos!AE17)," - ")</f>
        <v>2114</v>
      </c>
      <c r="G17" s="1390" t="str">
        <f>IF(Datos!E17&lt;&gt;"",Datos!E17,Datos!D17)</f>
        <v>04</v>
      </c>
      <c r="H17" s="241">
        <f>IF(ISNUMBER(IF(D_I="SI",Datos!L17,Datos!L17+Datos!AF17)),IF(D_I="SI",Datos!L17,Datos!L17+Datos!AF17)," - ")</f>
        <v>224</v>
      </c>
      <c r="I17" s="1400" t="str">
        <f>IF(ISNUMBER(Datos!AS17/Datos!BM17),Datos!AS17/Datos!BM17," - ")</f>
        <v xml:space="preserve"> - </v>
      </c>
      <c r="J17" s="1401">
        <f>IF(ISNUMBER(Datos!BY17/Datos!CN17),Datos!BY17/Datos!CN17," - ")</f>
        <v>0</v>
      </c>
      <c r="K17" s="244">
        <f t="shared" si="3"/>
        <v>-0.16417910447761194</v>
      </c>
      <c r="L17" s="1402">
        <f>IF(ISNUMBER(NºAsuntos!I17/NºAsuntos!G17),(NºAsuntos!I17/NºAsuntos!G17)*11," - ")</f>
        <v>1.1655629139072847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102</v>
      </c>
      <c r="F18" s="240">
        <f>IF(ISNUMBER(IF(D_I="SI",Datos!K18,Datos!K18+Datos!AE18)),IF(D_I="SI",Datos!K18,Datos!K18+Datos!AE18)," - ")</f>
        <v>103</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1.4951456310679612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283</v>
      </c>
      <c r="D23" s="1407">
        <f>SUBTOTAL(9,D16:D22)</f>
        <v>231</v>
      </c>
      <c r="E23" s="1408">
        <f>SUBTOTAL(9,E16:E22)</f>
        <v>2172</v>
      </c>
      <c r="F23" s="1408">
        <f>SUBTOTAL(9,F16:F22)</f>
        <v>2217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288</v>
      </c>
      <c r="D31" s="1435">
        <f>SUBTOTAL(9,D9:D30)</f>
        <v>236</v>
      </c>
      <c r="E31" s="1436">
        <f>SUBTOTAL(9,E9:E30)</f>
        <v>2177</v>
      </c>
      <c r="F31" s="1436">
        <f>SUBTOTAL(9,F9:F30)</f>
        <v>2226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UQsXaPzcbQRD3W2ot+6Z22SNaz80XuzPavupjSP3ZDGQSo9QWOYAtyYOVq+okco7TgNk1UZYZ2jTHH/yCoIyg==" saltValue="Xpn34bM99d6AJcZ/Hyqb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gKkve94aEUbQRTl0cahXIYqR84p3zLan2WBk82JW+DL7LG39Q6NVIHNYOk1MTdR0cU0xOPkwRPJHNpdWDR6iw==" saltValue="rNi/KK8Lji8l1hUDFQA+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9</v>
      </c>
      <c r="L10" s="194">
        <v>1</v>
      </c>
      <c r="M10" s="194">
        <v>9</v>
      </c>
      <c r="N10" s="194">
        <v>0</v>
      </c>
      <c r="O10" s="194">
        <v>0</v>
      </c>
      <c r="P10" s="194">
        <v>0</v>
      </c>
      <c r="Q10" s="194">
        <v>0</v>
      </c>
      <c r="R10" s="194">
        <v>7</v>
      </c>
      <c r="S10" s="194">
        <v>3</v>
      </c>
      <c r="T10" s="194">
        <v>6</v>
      </c>
      <c r="U10" s="194">
        <v>4</v>
      </c>
      <c r="V10" s="194">
        <v>5</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6</v>
      </c>
      <c r="BA10" s="139">
        <f t="shared" si="0"/>
        <v>4</v>
      </c>
      <c r="BB10" s="139">
        <f t="shared" si="0"/>
        <v>5</v>
      </c>
      <c r="BC10" s="135">
        <f t="shared" si="0"/>
        <v>4</v>
      </c>
      <c r="BD10" s="136">
        <f>IF(ISNUMBER(BA10/AZ10),BA10/AZ10," - ")</f>
        <v>0.66666666666666663</v>
      </c>
      <c r="BE10" s="137">
        <f>IF(ISNUMBER(BB10/BA10),BB10/BA10, " - ")</f>
        <v>1.25</v>
      </c>
      <c r="BF10" s="137">
        <f>IF(ISNUMBER(BC10/BA10),BC10/BA10, " - ")</f>
        <v>1</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751</v>
      </c>
      <c r="J12" s="196">
        <v>1055</v>
      </c>
      <c r="K12" s="196">
        <v>805</v>
      </c>
      <c r="L12" s="196">
        <v>1001</v>
      </c>
      <c r="M12" s="196">
        <v>213</v>
      </c>
      <c r="N12" s="196">
        <v>295</v>
      </c>
      <c r="O12" s="194">
        <v>448</v>
      </c>
      <c r="P12" s="196">
        <v>252</v>
      </c>
      <c r="Q12" s="196">
        <v>301</v>
      </c>
      <c r="R12" s="196">
        <v>1311</v>
      </c>
      <c r="S12" s="196">
        <v>991</v>
      </c>
      <c r="T12" s="196">
        <v>908</v>
      </c>
      <c r="U12" s="196">
        <v>1149</v>
      </c>
      <c r="V12" s="196">
        <v>751</v>
      </c>
      <c r="W12" s="196">
        <v>201</v>
      </c>
      <c r="X12" s="202">
        <v>372</v>
      </c>
      <c r="Y12" s="204">
        <v>28</v>
      </c>
      <c r="Z12" s="194">
        <v>111</v>
      </c>
      <c r="AA12" s="194">
        <v>105</v>
      </c>
      <c r="AB12" s="194">
        <v>34</v>
      </c>
      <c r="AC12" s="196">
        <v>0</v>
      </c>
      <c r="AD12" s="196">
        <v>0</v>
      </c>
      <c r="AE12" s="196">
        <v>0</v>
      </c>
      <c r="AF12" s="202">
        <v>0</v>
      </c>
      <c r="AG12" s="215">
        <v>36</v>
      </c>
      <c r="AH12" s="196">
        <v>96</v>
      </c>
      <c r="AI12" s="196">
        <v>104</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1027</v>
      </c>
      <c r="AZ12" s="137">
        <f t="shared" si="1"/>
        <v>1004</v>
      </c>
      <c r="BA12" s="137">
        <f t="shared" si="1"/>
        <v>1253</v>
      </c>
      <c r="BB12" s="137">
        <f t="shared" si="1"/>
        <v>779</v>
      </c>
      <c r="BC12" s="135">
        <f>IF(ISNUMBER(X12),X12," - ")</f>
        <v>372</v>
      </c>
      <c r="BD12" s="136">
        <f t="shared" si="2"/>
        <v>1.24800796812749</v>
      </c>
      <c r="BE12" s="137">
        <f t="shared" si="3"/>
        <v>0.62170790103750995</v>
      </c>
      <c r="BF12" s="137">
        <f t="shared" si="4"/>
        <v>0.29688747007182759</v>
      </c>
      <c r="BG12" s="209">
        <f t="shared" si="5"/>
        <v>1.6209098164405427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756</v>
      </c>
      <c r="J14" s="197">
        <f t="shared" si="7"/>
        <v>1060</v>
      </c>
      <c r="K14" s="197">
        <f t="shared" si="7"/>
        <v>814</v>
      </c>
      <c r="L14" s="197">
        <f t="shared" si="7"/>
        <v>1002</v>
      </c>
      <c r="M14" s="197">
        <f t="shared" si="7"/>
        <v>222</v>
      </c>
      <c r="N14" s="197">
        <f t="shared" si="7"/>
        <v>295</v>
      </c>
      <c r="O14" s="197">
        <f t="shared" si="7"/>
        <v>448</v>
      </c>
      <c r="P14" s="197">
        <f t="shared" si="7"/>
        <v>252</v>
      </c>
      <c r="Q14" s="197">
        <f t="shared" si="7"/>
        <v>301</v>
      </c>
      <c r="R14" s="197">
        <f t="shared" si="7"/>
        <v>1318</v>
      </c>
      <c r="S14" s="197">
        <f t="shared" si="7"/>
        <v>994</v>
      </c>
      <c r="T14" s="197">
        <f t="shared" si="7"/>
        <v>914</v>
      </c>
      <c r="U14" s="197">
        <f t="shared" si="7"/>
        <v>1153</v>
      </c>
      <c r="V14" s="197">
        <f t="shared" si="7"/>
        <v>756</v>
      </c>
      <c r="W14" s="197">
        <f t="shared" si="7"/>
        <v>205</v>
      </c>
      <c r="X14" s="197">
        <f t="shared" si="7"/>
        <v>372</v>
      </c>
      <c r="Y14" s="197">
        <f t="shared" si="7"/>
        <v>28</v>
      </c>
      <c r="Z14" s="197">
        <f t="shared" si="7"/>
        <v>111</v>
      </c>
      <c r="AA14" s="197">
        <f t="shared" si="7"/>
        <v>105</v>
      </c>
      <c r="AB14" s="197">
        <f t="shared" si="7"/>
        <v>34</v>
      </c>
      <c r="AC14" s="197">
        <f t="shared" si="7"/>
        <v>0</v>
      </c>
      <c r="AD14" s="197">
        <f t="shared" si="7"/>
        <v>0</v>
      </c>
      <c r="AE14" s="197">
        <f t="shared" si="7"/>
        <v>0</v>
      </c>
      <c r="AF14" s="197">
        <f>SUBTOTAL(9,AF9:AF13)</f>
        <v>0</v>
      </c>
      <c r="AG14" s="197">
        <f t="shared" ref="AG14:AT14" si="8">SUBTOTAL(9,AG8:AG13)</f>
        <v>36</v>
      </c>
      <c r="AH14" s="197">
        <f t="shared" si="8"/>
        <v>96</v>
      </c>
      <c r="AI14" s="197">
        <f t="shared" si="8"/>
        <v>104</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1030</v>
      </c>
      <c r="AZ14" s="197">
        <f>SUBTOTAL(9,AZ8:AZ13)</f>
        <v>1010</v>
      </c>
      <c r="BA14" s="197">
        <f>SUBTOTAL(9,BA8:BA13)</f>
        <v>1257</v>
      </c>
      <c r="BB14" s="197">
        <f>SUBTOTAL(9,BB8:BB13)</f>
        <v>784</v>
      </c>
      <c r="BC14" s="197">
        <f>SUBTOTAL(9,BC8:BC13)</f>
        <v>376</v>
      </c>
      <c r="BD14" s="219">
        <f>IF(ISNUMBER(BA14/AZ14),BA14/AZ14," - ")</f>
        <v>1.2445544554455445</v>
      </c>
      <c r="BE14" s="220">
        <f>IF(ISNUMBER(BB14/BA14),BB14/BA14, " - ")</f>
        <v>0.62370723945902939</v>
      </c>
      <c r="BF14" s="220">
        <f>IF(ISNUMBER(BC14/BA14),BC14/BA14, " - ")</f>
        <v>0.29912490055688146</v>
      </c>
      <c r="BG14" s="221">
        <f>IF(ISNUMBER((AY14+AZ14)/BA14),(AY14+AZ14)/BA14," - ")</f>
        <v>1.6229116945107398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216</v>
      </c>
      <c r="J17" s="196">
        <v>2070</v>
      </c>
      <c r="K17" s="196">
        <v>2114</v>
      </c>
      <c r="L17" s="196">
        <v>224</v>
      </c>
      <c r="M17" s="196">
        <v>237</v>
      </c>
      <c r="N17" s="196">
        <v>1481</v>
      </c>
      <c r="O17" s="194">
        <v>14</v>
      </c>
      <c r="P17" s="196">
        <v>61</v>
      </c>
      <c r="Q17" s="196">
        <v>47</v>
      </c>
      <c r="R17" s="196">
        <v>53</v>
      </c>
      <c r="S17" s="196">
        <v>330</v>
      </c>
      <c r="T17" s="196">
        <v>2180</v>
      </c>
      <c r="U17" s="196">
        <v>2340</v>
      </c>
      <c r="V17" s="196">
        <v>216</v>
      </c>
      <c r="W17" s="196">
        <v>303</v>
      </c>
      <c r="X17" s="202">
        <v>1510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330</v>
      </c>
      <c r="AZ17" s="137">
        <f t="shared" si="10"/>
        <v>2180</v>
      </c>
      <c r="BA17" s="137">
        <f t="shared" si="10"/>
        <v>2340</v>
      </c>
      <c r="BB17" s="137">
        <f t="shared" si="10"/>
        <v>216</v>
      </c>
      <c r="BC17" s="135">
        <f>IF(ISNUMBER(W17),W17," - ")</f>
        <v>303</v>
      </c>
      <c r="BD17" s="136">
        <f t="shared" ref="BD17:BD22" si="12">IF(ISNUMBER(BA17/AZ17),BA17/AZ17," - ")</f>
        <v>1.073394495412844</v>
      </c>
      <c r="BE17" s="137">
        <f t="shared" ref="BE17:BE22" si="13">IF(ISNUMBER(BB17/BA17),BB17/BA17, " - ")</f>
        <v>9.2307692307692313E-2</v>
      </c>
      <c r="BF17" s="137">
        <f t="shared" ref="BF17:BF22" si="14">IF(ISNUMBER(BC17/BA17),BC17/BA17, " - ")</f>
        <v>0.1294871794871795</v>
      </c>
      <c r="BG17" s="209">
        <f t="shared" si="11"/>
        <v>1.0726495726495726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102</v>
      </c>
      <c r="K18" s="196">
        <v>103</v>
      </c>
      <c r="L18" s="196">
        <v>14</v>
      </c>
      <c r="M18" s="196">
        <v>15</v>
      </c>
      <c r="N18" s="196">
        <v>62</v>
      </c>
      <c r="O18" s="196">
        <v>0</v>
      </c>
      <c r="P18" s="196">
        <v>0</v>
      </c>
      <c r="Q18" s="196">
        <v>0</v>
      </c>
      <c r="R18" s="196">
        <v>0</v>
      </c>
      <c r="S18" s="196">
        <v>21</v>
      </c>
      <c r="T18" s="196">
        <v>64</v>
      </c>
      <c r="U18" s="196">
        <v>70</v>
      </c>
      <c r="V18" s="196">
        <v>15</v>
      </c>
      <c r="W18" s="196">
        <v>12</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64</v>
      </c>
      <c r="BA18" s="139">
        <f t="shared" si="15"/>
        <v>70</v>
      </c>
      <c r="BB18" s="139">
        <f t="shared" si="15"/>
        <v>15</v>
      </c>
      <c r="BC18" s="135">
        <f>IF(ISNUMBER(W18),W18," - ")</f>
        <v>12</v>
      </c>
      <c r="BD18" s="136">
        <f>IF(ISNUMBER(BA18/AZ18),BA18/AZ18," - ")</f>
        <v>1.09375</v>
      </c>
      <c r="BE18" s="137">
        <f>IF(ISNUMBER(BB18/BA18),BB18/BA18, " - ")</f>
        <v>0.21428571428571427</v>
      </c>
      <c r="BF18" s="137">
        <f>IF(ISNUMBER(BC18/BA18),BC18/BA18, " - ")</f>
        <v>0.17142857142857143</v>
      </c>
      <c r="BG18" s="209">
        <f>IF(ISNUMBER((AY18+AZ18)/BA18),(AY18+AZ18)/BA18," - ")</f>
        <v>1.2142857142857142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231</v>
      </c>
      <c r="J23" s="197">
        <f t="shared" si="21"/>
        <v>2172</v>
      </c>
      <c r="K23" s="197">
        <f t="shared" si="21"/>
        <v>2217</v>
      </c>
      <c r="L23" s="197">
        <f t="shared" si="21"/>
        <v>238</v>
      </c>
      <c r="M23" s="197">
        <f t="shared" si="21"/>
        <v>252</v>
      </c>
      <c r="N23" s="197">
        <f t="shared" si="21"/>
        <v>1543</v>
      </c>
      <c r="O23" s="197">
        <f t="shared" si="21"/>
        <v>14</v>
      </c>
      <c r="P23" s="197">
        <f t="shared" si="21"/>
        <v>61</v>
      </c>
      <c r="Q23" s="197">
        <f t="shared" si="21"/>
        <v>47</v>
      </c>
      <c r="R23" s="197">
        <f t="shared" si="21"/>
        <v>53</v>
      </c>
      <c r="S23" s="197">
        <f t="shared" si="21"/>
        <v>351</v>
      </c>
      <c r="T23" s="197">
        <f t="shared" si="21"/>
        <v>2244</v>
      </c>
      <c r="U23" s="197">
        <f t="shared" si="21"/>
        <v>2410</v>
      </c>
      <c r="V23" s="197">
        <f t="shared" si="21"/>
        <v>231</v>
      </c>
      <c r="W23" s="197">
        <f t="shared" si="21"/>
        <v>315</v>
      </c>
      <c r="X23" s="197">
        <f t="shared" si="21"/>
        <v>1547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351</v>
      </c>
      <c r="AZ23" s="197">
        <f>SUBTOTAL(9,AZ15:AZ22)</f>
        <v>2244</v>
      </c>
      <c r="BA23" s="197">
        <f>SUBTOTAL(9,BA15:BA22)</f>
        <v>2410</v>
      </c>
      <c r="BB23" s="197">
        <f>SUBTOTAL(9,BB15:BB22)</f>
        <v>231</v>
      </c>
      <c r="BC23" s="197">
        <f>SUBTOTAL(9,BC15:BC22)</f>
        <v>315</v>
      </c>
      <c r="BD23" s="219">
        <f>IF(ISNUMBER(BA23/AZ23),BA23/AZ23," - ")</f>
        <v>1.0739750445632799</v>
      </c>
      <c r="BE23" s="220">
        <f>IF(ISNUMBER(BB23/BA23),BB23/BA23, " - ")</f>
        <v>9.5850622406639011E-2</v>
      </c>
      <c r="BF23" s="220">
        <f>IF(ISNUMBER(BC23/BA23),BC23/BA23, " - ")</f>
        <v>0.13070539419087138</v>
      </c>
      <c r="BG23" s="221">
        <f>IF(ISNUMBER((AY23+AZ23)/BA23),(AY23+AZ23)/BA23," - ")</f>
        <v>1.0767634854771784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987</v>
      </c>
      <c r="J31" s="144">
        <f t="shared" si="36"/>
        <v>3232</v>
      </c>
      <c r="K31" s="144">
        <f t="shared" si="36"/>
        <v>3031</v>
      </c>
      <c r="L31" s="144">
        <f t="shared" si="36"/>
        <v>1240</v>
      </c>
      <c r="M31" s="144">
        <f t="shared" si="36"/>
        <v>474</v>
      </c>
      <c r="N31" s="144">
        <f t="shared" si="36"/>
        <v>1838</v>
      </c>
      <c r="O31" s="144">
        <f t="shared" si="36"/>
        <v>462</v>
      </c>
      <c r="P31" s="144">
        <f t="shared" si="36"/>
        <v>313</v>
      </c>
      <c r="Q31" s="144">
        <f t="shared" si="36"/>
        <v>348</v>
      </c>
      <c r="R31" s="144">
        <f t="shared" si="36"/>
        <v>1371</v>
      </c>
      <c r="S31" s="144">
        <f t="shared" si="36"/>
        <v>1345</v>
      </c>
      <c r="T31" s="144">
        <f t="shared" si="36"/>
        <v>3158</v>
      </c>
      <c r="U31" s="144">
        <f t="shared" si="36"/>
        <v>3563</v>
      </c>
      <c r="V31" s="144">
        <f t="shared" si="36"/>
        <v>987</v>
      </c>
      <c r="W31" s="144">
        <f t="shared" si="36"/>
        <v>520</v>
      </c>
      <c r="X31" s="144">
        <f t="shared" si="36"/>
        <v>1919</v>
      </c>
      <c r="Y31" s="144">
        <f t="shared" si="36"/>
        <v>28</v>
      </c>
      <c r="Z31" s="144">
        <f t="shared" si="36"/>
        <v>111</v>
      </c>
      <c r="AA31" s="144">
        <f t="shared" si="36"/>
        <v>105</v>
      </c>
      <c r="AB31" s="144">
        <f t="shared" si="36"/>
        <v>34</v>
      </c>
      <c r="AC31" s="144">
        <f t="shared" si="36"/>
        <v>0</v>
      </c>
      <c r="AD31" s="144">
        <f t="shared" si="36"/>
        <v>1</v>
      </c>
      <c r="AE31" s="144">
        <f t="shared" si="36"/>
        <v>1</v>
      </c>
      <c r="AF31" s="144">
        <f t="shared" si="36"/>
        <v>0</v>
      </c>
      <c r="AG31" s="144">
        <f t="shared" si="36"/>
        <v>36</v>
      </c>
      <c r="AH31" s="144">
        <f t="shared" si="36"/>
        <v>96</v>
      </c>
      <c r="AI31" s="144">
        <f t="shared" si="36"/>
        <v>104</v>
      </c>
      <c r="AJ31" s="144">
        <f t="shared" si="36"/>
        <v>28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1381</v>
      </c>
      <c r="AZ31" s="144">
        <f>SUBTOTAL(9,AZ9:AZ30)</f>
        <v>3254</v>
      </c>
      <c r="BA31" s="144">
        <f>SUBTOTAL(9,BA9:BA30)</f>
        <v>3667</v>
      </c>
      <c r="BB31" s="144">
        <f>SUBTOTAL(9,BB9:BB30)</f>
        <v>1015</v>
      </c>
      <c r="BC31" s="145">
        <f>SUBTOTAL(9,BC9:BC30)</f>
        <v>691</v>
      </c>
      <c r="BD31" s="227">
        <f>IF(ISNUMBER(BA31/AZ31),BA31/AZ31," - ")</f>
        <v>1.126920712968654</v>
      </c>
      <c r="BE31" s="224">
        <f>IF(ISNUMBER(BB31/BA31),BB31/BA31, " - ")</f>
        <v>0.27679301881647123</v>
      </c>
      <c r="BF31" s="224">
        <f>IF(ISNUMBER(BC31/BA31),BC31/BA31, " - ")</f>
        <v>0.18843741478047452</v>
      </c>
      <c r="BG31" s="145">
        <f>IF(ISNUMBER((AY31+AZ31)/BA31),(AY31+AZ31)/BA31," - ")</f>
        <v>1.2639760021816198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WPEpYA13NrdiH3GdA/IkAFMsE74avaQYv7zuW8Vms/DIdUm+ApzS0UvebZsSb2z/GDRZtuCIJHONlVlH/xBw==" saltValue="pSHatzDpmPx/lgrGP9l8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CICJl5mSP8SNKGDpiEW62lnTTTnWP84UPjzkason6U5wEpYJgf+UX0LAz02OVhzlF1eSxYZ+5E2yJXjLrRFQ==" saltValue="HGTmHEZhhvxLuznqgiUB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PUENTE GENIL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1</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1.8</v>
      </c>
      <c r="BH10" s="764">
        <f>IF(ISNUMBER(((Datos!L10/Datos!K10)*11)/factor_trimestre),((Datos!L10/Datos!K10)*11)/factor_trimestre," - ")</f>
        <v>1.2222222222222221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252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1311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213</v>
      </c>
      <c r="BD12" s="693">
        <f>IF(ISNUMBER(Datos!N12),Datos!N12," - ")</f>
        <v>295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0.78044596912521436</v>
      </c>
      <c r="BH12" s="764">
        <f>IF(ISNUMBER(((IF(J_V="SI",Datos!L12/Datos!K12,(Datos!L12+Datos!AB12)/(Datos!K12+Datos!AA12)))*11)/factor_trimestre),((IF(J_V="SI",Datos!L12/Datos!K12,(Datos!L12+Datos!AB12)/(Datos!K12+Datos!AA12)))*11)/factor_trimestre," - ")</f>
        <v>12.510989010989011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-3.6029411764705879E-2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252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301</v>
      </c>
      <c r="AD14" s="1198">
        <f t="shared" si="2"/>
        <v>0</v>
      </c>
      <c r="AE14" s="1198">
        <f t="shared" si="2"/>
        <v>0</v>
      </c>
      <c r="AF14" s="1198">
        <f t="shared" si="2"/>
        <v>1</v>
      </c>
      <c r="AG14" s="1198">
        <f t="shared" si="2"/>
        <v>0</v>
      </c>
      <c r="AH14" s="1198">
        <f t="shared" si="2"/>
        <v>34</v>
      </c>
      <c r="AI14" s="1198">
        <f t="shared" si="2"/>
        <v>0</v>
      </c>
      <c r="AJ14" s="1198">
        <f t="shared" si="2"/>
        <v>0</v>
      </c>
      <c r="AK14" s="1198">
        <f t="shared" si="2"/>
        <v>0</v>
      </c>
      <c r="AL14" s="1198">
        <f t="shared" si="2"/>
        <v>0</v>
      </c>
      <c r="AM14" s="1198">
        <f t="shared" si="2"/>
        <v>1318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222</v>
      </c>
      <c r="BD14" s="1198">
        <f t="shared" si="2"/>
        <v>295</v>
      </c>
      <c r="BE14" s="1198">
        <f t="shared" si="2"/>
        <v>0</v>
      </c>
      <c r="BF14" s="1198">
        <f t="shared" si="2"/>
        <v>0</v>
      </c>
      <c r="BG14" s="1198">
        <f>IF(ISNUMBER(Datos!K14/Datos!J14),Datos!K14/Datos!J14," - ")</f>
        <v>0.76792452830188684</v>
      </c>
      <c r="BH14" s="1202">
        <f>IF(ISNUMBER(((Datos!L14/Datos!K14)*11)/factor_trimestre),((Datos!L14/Datos!K14)*11)/factor_trimestre," - ")</f>
        <v>13.54054054054054</v>
      </c>
      <c r="BI14" s="1198">
        <f>IF(ISNUMBER('Resol  Asuntos'!D14/NºAsuntos!G14),'Resol  Asuntos'!D14/NºAsuntos!G14," - ")</f>
        <v>0.24156692056583243</v>
      </c>
      <c r="BJ14" s="1198" t="str">
        <f>IF(ISNUMBER(Datos!CI14/Datos!CJ14),Datos!CI14/Datos!CJ14," - ")</f>
        <v xml:space="preserve"> - </v>
      </c>
      <c r="BK14" s="1198">
        <f>SUBTOTAL(9,BK8:BK13)</f>
        <v>0</v>
      </c>
      <c r="BL14" s="1198">
        <f>IF(ISNUMBER((I14-AB14+L14)/(F14)),(I14-AB14+L14)/(F14)," - ")</f>
        <v>-1.8</v>
      </c>
      <c r="BM14" s="1203">
        <f>SUBTOTAL(9,BM9:BM13)</f>
        <v>-3.6029411764705879E-2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268</v>
      </c>
      <c r="G17" s="743">
        <f>IF(ISNUMBER(IF(D_I="SI",Datos!I17,Datos!I17+Datos!AC17)),IF(D_I="SI",Datos!I17,Datos!I17+Datos!AC17)," - ")</f>
        <v>216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2114</v>
      </c>
      <c r="AC17" s="240">
        <f>IF(ISNUMBER(Datos!Q17),Datos!Q17," - ")</f>
        <v>47</v>
      </c>
      <c r="AD17" s="374"/>
      <c r="AE17" s="562"/>
      <c r="AF17" s="741">
        <f>IF(ISNUMBER(IF(D_I="SI",Datos!L17,Datos!L17+Datos!AF17)),IF(D_I="SI",Datos!L17,Datos!L17+Datos!AF17)," - ")</f>
        <v>224</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1481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1.021256038647343</v>
      </c>
      <c r="BH17" s="764">
        <f>IF(ISNUMBER(((IF(D_I="SI",Datos!L17/Datos!K17,(Datos!L17+Datos!AF17)/(Datos!K17+Datos!AE17)))*11)/factor_trimestre),((IF(D_I="SI",Datos!L17/Datos!K17,(Datos!L17+Datos!AF17)/(Datos!K17+Datos!AE17)))*11)/factor_trimestre," - ")</f>
        <v>1.1655629139072847</v>
      </c>
      <c r="BI17" s="266">
        <f>IF(ISNUMBER('Resol  Asuntos'!D17/NºAsuntos!G17),'Resol  Asuntos'!D17/NºAsuntos!G17," - ")</f>
        <v>0.11210974456007569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103</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1.0098039215686274</v>
      </c>
      <c r="BH18" s="764">
        <f>IF(ISNUMBER(((IF(D_I="SI",Datos!L18/Datos!K18,(Datos!L18+Datos!AF18)/(Datos!K18+Datos!AE18)))*11)/factor_trimestre),((IF(D_I="SI",Datos!L18/Datos!K18,(Datos!L18+Datos!AF18)/(Datos!K18+Datos!AE18)))*11)/factor_trimestre," - ")</f>
        <v>1.4951456310679612</v>
      </c>
      <c r="BI18" s="763">
        <f>IF(ISNUMBER('Resol  Asuntos'!D18/NºAsuntos!G18),'Resol  Asuntos'!D18/NºAsuntos!G18," - ")</f>
        <v>0.14563106796116504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268</v>
      </c>
      <c r="G23" s="1197">
        <f>SUBTOTAL(9,G16:G22)</f>
        <v>231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2217</v>
      </c>
      <c r="AC23" s="1198">
        <f t="shared" si="5"/>
        <v>47</v>
      </c>
      <c r="AD23" s="1198">
        <f t="shared" si="5"/>
        <v>0</v>
      </c>
      <c r="AE23" s="1198">
        <f t="shared" si="5"/>
        <v>0</v>
      </c>
      <c r="AF23" s="1198">
        <f t="shared" si="5"/>
        <v>238</v>
      </c>
      <c r="AG23" s="1198">
        <f t="shared" si="5"/>
        <v>0</v>
      </c>
      <c r="AH23" s="1198">
        <f t="shared" si="5"/>
        <v>0</v>
      </c>
      <c r="AI23" s="1198">
        <f t="shared" si="5"/>
        <v>0</v>
      </c>
      <c r="AJ23" s="1198">
        <f t="shared" si="5"/>
        <v>0</v>
      </c>
      <c r="AK23" s="1198">
        <f t="shared" si="5"/>
        <v>0</v>
      </c>
      <c r="AL23" s="1198">
        <f t="shared" si="5"/>
        <v>0</v>
      </c>
      <c r="AM23" s="1198">
        <f t="shared" si="5"/>
        <v>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252</v>
      </c>
      <c r="BD23" s="1198">
        <f t="shared" si="5"/>
        <v>1543</v>
      </c>
      <c r="BE23" s="1198">
        <f t="shared" si="5"/>
        <v>0</v>
      </c>
      <c r="BF23" s="1198">
        <f t="shared" si="5"/>
        <v>0</v>
      </c>
      <c r="BG23" s="1198">
        <f>IF(ISNUMBER(Datos!K23/Datos!J23),Datos!K23/Datos!J23," - ")</f>
        <v>1.020718232044199</v>
      </c>
      <c r="BH23" s="1202">
        <f>IF(ISNUMBER(((Datos!L23/Datos!K23)*11)/factor_trimestre),((Datos!L23/Datos!K23)*11)/factor_trimestre," - ")</f>
        <v>1.1808750563824988</v>
      </c>
      <c r="BI23" s="1198">
        <f>SUBTOTAL(9,BI16:BI22)</f>
        <v>0.2577408125212407</v>
      </c>
      <c r="BJ23" s="1198">
        <f>SUBTOTAL(9,BJ16:BJ22)</f>
        <v>0</v>
      </c>
      <c r="BK23" s="1198">
        <f>SUBTOTAL(9,BK16:BK22)</f>
        <v>0</v>
      </c>
      <c r="BL23" s="1198">
        <f>IF(ISNUMBER((I23-AB23+L23)/(F23)),(I23-AB23+L23)/(F23)," - ")</f>
        <v>-8.2723880597014929</v>
      </c>
      <c r="BM23" s="1205">
        <f>IF(ISNUMBER((Datos!P23-Datos!Q23)/(Datos!R23-Datos!P23+Datos!Q23)),(Datos!P23-Datos!Q23)/(Datos!R23-Datos!P23+Datos!Q23)," - ")</f>
        <v>0.35897435897435898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273</v>
      </c>
      <c r="G31" s="1117">
        <f t="shared" si="18"/>
        <v>236</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313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2226</v>
      </c>
      <c r="AC31" s="1118">
        <f t="shared" si="19"/>
        <v>348</v>
      </c>
      <c r="AD31" s="1118">
        <f t="shared" si="19"/>
        <v>0</v>
      </c>
      <c r="AE31" s="1118">
        <f t="shared" si="19"/>
        <v>0</v>
      </c>
      <c r="AF31" s="1125">
        <f t="shared" si="19"/>
        <v>239</v>
      </c>
      <c r="AG31" s="1125">
        <f t="shared" si="19"/>
        <v>0</v>
      </c>
      <c r="AH31" s="1125">
        <f t="shared" si="19"/>
        <v>34</v>
      </c>
      <c r="AI31" s="1125">
        <f t="shared" si="19"/>
        <v>0</v>
      </c>
      <c r="AJ31" s="1118">
        <f t="shared" si="19"/>
        <v>0</v>
      </c>
      <c r="AK31" s="1125">
        <f t="shared" si="19"/>
        <v>0</v>
      </c>
      <c r="AL31" s="1125">
        <f t="shared" si="19"/>
        <v>0</v>
      </c>
      <c r="AM31" s="1125">
        <f t="shared" si="19"/>
        <v>1371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474</v>
      </c>
      <c r="BD31" s="1117">
        <f t="shared" si="19"/>
        <v>1838</v>
      </c>
      <c r="BE31" s="1117">
        <f t="shared" si="19"/>
        <v>0</v>
      </c>
      <c r="BF31" s="1127">
        <f t="shared" si="19"/>
        <v>0</v>
      </c>
      <c r="BG31" s="1223">
        <f>IF(ISNUMBER(Datos!K31/Datos!J31),Datos!K31/Datos!J31," - ")</f>
        <v>0.93780940594059403</v>
      </c>
      <c r="BH31" s="1223">
        <f>IF(ISNUMBER(((Datos!L31/Datos!K31)*11)/factor_trimestre),((Datos!L31/Datos!K31)*11)/factor_trimestre," - ")</f>
        <v>4.5001649620587267</v>
      </c>
      <c r="BI31" s="1103">
        <f>IF(ISNUMBER(Datos!J31/Datos!I31),Datos!J31/Datos!I31," - ")</f>
        <v>3.2745694022289769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-8.1538461538461533</v>
      </c>
      <c r="BM31" s="1188">
        <f>IF(ISNUMBER((Datos!P31-Datos!Q31+R31)/(Datos!R31-Datos!P31+Datos!Q31-R31)),(Datos!P31-Datos!Q31+R31)/(Datos!R31-Datos!P31+Datos!Q31-R31)," - ")</f>
        <v>-2.4893314366998577E-2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137.12184362821264</v>
      </c>
      <c r="G33" s="674">
        <f>IF(ISNUMBER(STDEV(G8:G30)),STDEV(G8:G30),"-")</f>
        <v>106.82205943040221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1045.895469601687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120.88601478843022</v>
      </c>
      <c r="BD33" s="673"/>
      <c r="BE33" s="673">
        <f>IF(ISNUMBER(STDEV(BE8:BE30)),STDEV(BE8:BE30),"-")</f>
        <v>0</v>
      </c>
      <c r="BF33" s="678">
        <f>IF(ISNUMBER(STDEV(BF8:BF30)),STDEV(BF8:BF30),"-")</f>
        <v>0</v>
      </c>
      <c r="BG33" s="1052">
        <f>IF(ISNUMBER(STDEV(BG8:BG30)),STDEV(BG8:BG30),"-")</f>
        <v>0.37851121055797921</v>
      </c>
      <c r="BH33" s="1058">
        <f>IF(ISNUMBER(STDEV(BH8:BH30)),STDEV(BH8:BH30),"-")</f>
        <v>6.082642386373057</v>
      </c>
      <c r="BI33" s="273">
        <f>IF(ISNUMBER(STDEV(BI8:BI30)),STDEV(BI8:BI30),"-")</f>
        <v>7.1370585046613352E-2</v>
      </c>
      <c r="BJ33" s="244" t="str">
        <f>IF(ISNUMBER(BL33/BM33),BL33/BM33," - ")</f>
        <v xml:space="preserve"> - </v>
      </c>
      <c r="BK33" s="709"/>
      <c r="BL33" s="681">
        <f>IF(ISNUMBER(STDEV(BL8:BL30)),STDEV(BL8:BL30),"-")</f>
        <v>4.5766694874857654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GQaR913PlJ9zCG7Iva7lxHxa86kLxt4+zU++JstIX+V1YF0KPakmmeY1RHKNsXVUpAQy+FxDKaK45si0G769A==" saltValue="ImrE9SnBIMKuoWL8hUUi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PUENTE GENIL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1</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1.2222222222222221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301</v>
      </c>
      <c r="AA12" s="551" t="str">
        <f>IF(ISNUMBER(IF(J_V="SI",Datos!L12,Datos!L12+Datos!AB12)-IF(Monitorios="SI",Datos!CD12,0)),
                          IF(J_V="SI",Datos!L12,Datos!L12+Datos!AB12)-IF(Monitorios="SI",Datos!CD12,0),
                          " - ")</f>
        <v xml:space="preserve"> - </v>
      </c>
      <c r="AB12" s="549"/>
      <c r="AC12" s="549"/>
      <c r="AD12" s="563"/>
      <c r="AE12" s="563">
        <f>IF(ISNUMBER(Datos!R12),Datos!R12," - ")</f>
        <v>1311</v>
      </c>
      <c r="AF12" s="693" t="str">
        <f>IF(ISNUMBER(Datos!BV12),Datos!BV12," - ")</f>
        <v xml:space="preserve"> - </v>
      </c>
      <c r="AG12" s="552" t="str">
        <f>IF(ISNUMBER(Datos!DV12),Datos!DV12," - ")</f>
        <v xml:space="preserve"> - </v>
      </c>
      <c r="AH12" s="553"/>
      <c r="AI12" s="554"/>
      <c r="AJ12" s="552">
        <f>IF(ISNUMBER(Datos!M12),Datos!M12," - ")</f>
        <v>213</v>
      </c>
      <c r="AK12" s="693">
        <f>IF(ISNUMBER(Datos!N12),Datos!N12," - ")</f>
        <v>295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12.510989010989011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-3.6029411764705879E-2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301</v>
      </c>
      <c r="AA14" s="1199">
        <f t="shared" si="3"/>
        <v>1</v>
      </c>
      <c r="AB14" s="1199">
        <f t="shared" si="3"/>
        <v>0</v>
      </c>
      <c r="AC14" s="1199">
        <f t="shared" si="3"/>
        <v>0</v>
      </c>
      <c r="AD14" s="1199">
        <f t="shared" si="3"/>
        <v>0</v>
      </c>
      <c r="AE14" s="1199">
        <f t="shared" si="3"/>
        <v>1318</v>
      </c>
      <c r="AF14" s="1211">
        <f t="shared" si="3"/>
        <v>0</v>
      </c>
      <c r="AG14" s="1211">
        <f t="shared" si="3"/>
        <v>0</v>
      </c>
      <c r="AH14" s="1211">
        <f t="shared" si="3"/>
        <v>0</v>
      </c>
      <c r="AI14" s="1211">
        <f t="shared" si="3"/>
        <v>0</v>
      </c>
      <c r="AJ14" s="1211">
        <f t="shared" si="3"/>
        <v>222</v>
      </c>
      <c r="AK14" s="1211">
        <f t="shared" si="3"/>
        <v>295</v>
      </c>
      <c r="AL14" s="1211">
        <f t="shared" si="3"/>
        <v>0</v>
      </c>
      <c r="AM14" s="1211">
        <f t="shared" si="3"/>
        <v>0</v>
      </c>
      <c r="AN14" s="1211">
        <f t="shared" si="3"/>
        <v>0</v>
      </c>
      <c r="AO14" s="1203">
        <f>IF(ISNUMBER(((NºAsuntos!I14/NºAsuntos!G14)*11)/factor_trimestre),((NºAsuntos!I14/NºAsuntos!G14)*11)/factor_trimestre," - ")</f>
        <v>12.400435255712731</v>
      </c>
      <c r="AP14" s="1213" t="str">
        <f>IF(ISNUMBER(Datos!CI14/Datos!CJ14),Datos!CI14/Datos!CJ14," - ")</f>
        <v xml:space="preserve"> - </v>
      </c>
      <c r="AQ14" s="1236">
        <f t="shared" ref="AQ14:AV14" si="4">SUBTOTAL(9,AQ9:AQ13)</f>
        <v>0</v>
      </c>
      <c r="AR14" s="1236">
        <f t="shared" si="4"/>
        <v>-3.6029411764705879E-2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268</v>
      </c>
      <c r="G17" s="552">
        <f>IF(ISNUMBER(IF(D_I="SI",Datos!I17,Datos!I17+Datos!AC17)),IF(D_I="SI",Datos!I17,Datos!I17+Datos!AC17)," - ")</f>
        <v>216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2114</v>
      </c>
      <c r="Z17" s="805">
        <f>IF(ISNUMBER(Datos!Q17),Datos!Q17," - ")</f>
        <v>47</v>
      </c>
      <c r="AA17" s="551">
        <f>IF(ISNUMBER(IF(D_I="SI",Datos!L17,Datos!L17+Datos!AF17)),IF(D_I="SI",Datos!L17,Datos!L17+Datos!AF17)," - ")</f>
        <v>224</v>
      </c>
      <c r="AB17" s="549"/>
      <c r="AC17" s="549"/>
      <c r="AD17" s="563"/>
      <c r="AE17" s="563">
        <f>IF(ISNUMBER(Datos!R17),Datos!R17," - ")</f>
        <v>53</v>
      </c>
      <c r="AF17" s="693" t="str">
        <f>IF(ISNUMBER(Datos!BV17),Datos!BV17," - ")</f>
        <v xml:space="preserve"> - </v>
      </c>
      <c r="AG17" s="552"/>
      <c r="AH17" s="553"/>
      <c r="AI17" s="554"/>
      <c r="AJ17" s="552">
        <f>IF(ISNUMBER(Datos!M17),Datos!M17," - ")</f>
        <v>237</v>
      </c>
      <c r="AK17" s="693">
        <f>IF(ISNUMBER(Datos!N17),Datos!N17," - ")</f>
        <v>1481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1.1655629139072847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103</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1.4951456310679612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268</v>
      </c>
      <c r="G23" s="1197">
        <f>SUBTOTAL(9,G16:G22)</f>
        <v>231</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2217</v>
      </c>
      <c r="Z23" s="1240">
        <f t="shared" si="6"/>
        <v>47</v>
      </c>
      <c r="AA23" s="1240">
        <f t="shared" si="6"/>
        <v>238</v>
      </c>
      <c r="AB23" s="1240">
        <f t="shared" si="6"/>
        <v>0</v>
      </c>
      <c r="AC23" s="1240">
        <f t="shared" si="6"/>
        <v>0</v>
      </c>
      <c r="AD23" s="1240">
        <f t="shared" si="6"/>
        <v>0</v>
      </c>
      <c r="AE23" s="1240">
        <f t="shared" si="6"/>
        <v>53</v>
      </c>
      <c r="AF23" s="1240">
        <f t="shared" si="6"/>
        <v>0</v>
      </c>
      <c r="AG23" s="1240">
        <f t="shared" si="6"/>
        <v>0</v>
      </c>
      <c r="AH23" s="1240">
        <f t="shared" si="6"/>
        <v>0</v>
      </c>
      <c r="AI23" s="1240">
        <f t="shared" si="6"/>
        <v>0</v>
      </c>
      <c r="AJ23" s="1240">
        <f t="shared" si="6"/>
        <v>252</v>
      </c>
      <c r="AK23" s="1240">
        <f t="shared" si="6"/>
        <v>1543</v>
      </c>
      <c r="AL23" s="1240">
        <f t="shared" si="6"/>
        <v>0</v>
      </c>
      <c r="AM23" s="1240">
        <f t="shared" si="6"/>
        <v>0</v>
      </c>
      <c r="AN23" s="1240">
        <f t="shared" si="6"/>
        <v>0</v>
      </c>
      <c r="AO23" s="1242">
        <f>IF(ISNUMBER(((NºAsuntos!I23/NºAsuntos!G23)*11)/factor_trimestre),((NºAsuntos!I23/NºAsuntos!G23)*11)/factor_trimestre," - ")</f>
        <v>1.1808750563824988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273</v>
      </c>
      <c r="G31" s="1117">
        <f t="shared" si="12"/>
        <v>236</v>
      </c>
      <c r="H31" s="1118">
        <f t="shared" si="12"/>
        <v>0</v>
      </c>
      <c r="I31" s="1117">
        <f t="shared" si="12"/>
        <v>0</v>
      </c>
      <c r="J31" s="1119">
        <f t="shared" si="12"/>
        <v>0</v>
      </c>
      <c r="K31" s="1117">
        <f t="shared" si="12"/>
        <v>0</v>
      </c>
      <c r="L31" s="1120">
        <f t="shared" si="12"/>
        <v>0</v>
      </c>
      <c r="M31" s="1117">
        <f t="shared" si="12"/>
        <v>0</v>
      </c>
      <c r="N31" s="1118">
        <f t="shared" si="12"/>
        <v>313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2226</v>
      </c>
      <c r="Z31" s="1124">
        <f t="shared" si="13"/>
        <v>348</v>
      </c>
      <c r="AA31" s="1125">
        <f t="shared" si="13"/>
        <v>239</v>
      </c>
      <c r="AB31" s="1125">
        <f t="shared" si="13"/>
        <v>0</v>
      </c>
      <c r="AC31" s="1125">
        <f t="shared" si="13"/>
        <v>0</v>
      </c>
      <c r="AD31" s="1126">
        <f t="shared" si="13"/>
        <v>0</v>
      </c>
      <c r="AE31" s="1126">
        <f t="shared" si="13"/>
        <v>1371</v>
      </c>
      <c r="AF31" s="1127">
        <f t="shared" si="13"/>
        <v>0</v>
      </c>
      <c r="AG31" s="1128">
        <f t="shared" si="13"/>
        <v>0</v>
      </c>
      <c r="AH31" s="1129">
        <f t="shared" si="13"/>
        <v>0</v>
      </c>
      <c r="AI31" s="1127">
        <f t="shared" si="13"/>
        <v>0</v>
      </c>
      <c r="AJ31" s="1117">
        <f t="shared" si="13"/>
        <v>474</v>
      </c>
      <c r="AK31" s="1117">
        <f t="shared" si="13"/>
        <v>1838</v>
      </c>
      <c r="AL31" s="1117">
        <f t="shared" si="13"/>
        <v>0</v>
      </c>
      <c r="AM31" s="1130">
        <f t="shared" si="13"/>
        <v>0</v>
      </c>
      <c r="AN31" s="1120">
        <f>IF(ISNUMBER(Datos!K31/Datos!J31),Datos!K31/Datos!J31," - ")</f>
        <v>0.93780940594059403</v>
      </c>
      <c r="AO31" s="1120">
        <f>IF(ISNUMBER(FIND("06",Criterios!A8,1)),(IF(ISNUMBER(((Datos!R31/Datos!Q31)*11)/factor_trimestre),((Datos!R31/Datos!Q31)*11)/factor_trimestre," - ")),(IF(ISNUMBER(((Datos!L31/Datos!K31)*11)/factor_trimestre),((Datos!L31/Datos!K31)*11)/factor_trimestre," - ")))</f>
        <v>4.5001649620587267</v>
      </c>
      <c r="AP31" s="1131" t="str">
        <f>IF(ISNUMBER(Datos!CI31/Datos!CJ31),Datos!CI31/Datos!CJ31," - ")</f>
        <v xml:space="preserve"> - </v>
      </c>
      <c r="AQ31" s="1131">
        <f>IF(OR(ISNUMBER(FIND("01",Criterios!A8,1)),ISNUMBER(FIND("02",Criterios!A8,1)),ISNUMBER(FIND("03",Criterios!A8,1)),ISNUMBER(FIND("04",Criterios!A8,1))),(J31-Y31+K31)/(F31-K31),(I31-Y31+K31)/(F31-K31))</f>
        <v>-8.1538461538461533</v>
      </c>
      <c r="AR31" s="1131">
        <f>IF(ISNUMBER((Datos!P31-Datos!Q31+O31)/(Datos!R31-Datos!P31+Datos!Q31-O31)),(Datos!P31-Datos!Q31+O31)/(Datos!R31-Datos!P31+Datos!Q31-O31)," - ")</f>
        <v>-2.4893314366998577E-2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137.12184362821264</v>
      </c>
      <c r="G33" s="674">
        <f>IF(ISNUMBER(STDEV(G8:G30)),STDEV(G8:G30),"-")</f>
        <v>106.82205943040221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120.88601478843022</v>
      </c>
      <c r="AK33" s="276"/>
      <c r="AL33" s="276">
        <f>IF(ISNUMBER(STDEV(AL8:AL30)),STDEV(AL8:AL30),"-")</f>
        <v>0</v>
      </c>
      <c r="AM33" s="278">
        <f>IF(ISNUMBER(STDEV(AM8:AM30)),STDEV(AM8:AM30),"-")</f>
        <v>0</v>
      </c>
      <c r="AN33" s="660">
        <f>IF(ISNUMBER(STDEV(AN8:AN30)),STDEV(AN8:AN30),"-")</f>
        <v>0</v>
      </c>
      <c r="AO33" s="661">
        <f>IF(ISNUMBER(STDEV(AO8:AO30)),STDEV(AO8:AO30),"-")</f>
        <v>5.7797150072815979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Lk72cE+fqytDw7W24XnbVghfbed95XU0JcAVqLzfn6m4WFXHzfrMhyQAKQueIqKqUz+fc00XlzrZK9MH8Jr2Q==" saltValue="jO/7t2AO4rnVzUkFW6bg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JgRRflWbulkqZGjf6CXnOgSitbVXjN565Mp3qYqT5kLUvMJdagLPLz3pTbmz/uI3M5Ot+/h70RpcBesv26KZA==" saltValue="BzWvScyna0HzENGVuxlP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iA9XZP9DllezIpp3YgSdLrBYnctlM+cMnFHO3jAeJOPSju6nGIhvCdZ4N3LpN//zoJN0Gho3gEne9e2QtIUTQ==" saltValue="pkpSZeGJnv4WiaXG7X7B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PUENTE GENIL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0.24156692056583243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0.17081360764245218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IiScs18OYlOPv0gwemv6j/FpKgcbQfVTojwbsr5Ty26ipz9zud+sWi4L+fHCrGJhxAGf3IWr3KNIi0pgJ5xtw==" saltValue="NE4St89Z6kUFyu9MQ9L+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WNMTGKlkb9q7avTMQcV2vbxqvXV8rLaL6fkR6VGIpgo7PT9L/47igJ3gOwfOlL4JWh3GZEa8hi8cfo3AXrKFw==" saltValue="hHmZgKj5Zmai9p+L5NKq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PUENTE GENIL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9</v>
      </c>
      <c r="H10" s="452">
        <f>IF(ISNUMBER(G10/B10),G10/B10," - ")</f>
        <v>9</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779</v>
      </c>
      <c r="D12" s="452">
        <f>IF(ISNUMBER(C12/Datos!BH12),C12/Datos!BH12," - ")</f>
        <v>389.5</v>
      </c>
      <c r="E12" s="451">
        <f>IF(ISNUMBER(IF(J_V="SI",Datos!J12,Datos!J12+Datos!Z12)),IF(J_V="SI",Datos!J12,Datos!J12+Datos!Z12)," - ")</f>
        <v>1166</v>
      </c>
      <c r="F12" s="452">
        <f>IF(ISNUMBER(E12/B12),E12/B12," - ")</f>
        <v>583</v>
      </c>
      <c r="G12" s="451">
        <f>IF(ISNUMBER(IF(J_V="SI",Datos!K12,Datos!K12+Datos!AA12)),IF(J_V="SI",Datos!K12,Datos!K12+Datos!AA12)," - ")</f>
        <v>910</v>
      </c>
      <c r="H12" s="452">
        <f>IF(ISNUMBER(G12/B12),G12/B12," - ")</f>
        <v>455</v>
      </c>
      <c r="I12" s="451">
        <f>IF(ISNUMBER(IF(J_V="SI",Datos!L12,Datos!L12+Datos!AB12)),IF(J_V="SI",Datos!L12,Datos!L12+Datos!AB12)," - ")</f>
        <v>1035</v>
      </c>
      <c r="J12" s="452">
        <f>IF(ISNUMBER(I12/B12),I12/B12," - ")</f>
        <v>517.5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784</v>
      </c>
      <c r="D14" s="1147" t="str">
        <f>IF(ISNUMBER(C14/Datos!BI14),C14/Datos!BI14," - ")</f>
        <v xml:space="preserve"> - </v>
      </c>
      <c r="E14" s="1146">
        <f>SUBTOTAL(9,E8:E13)</f>
        <v>1171</v>
      </c>
      <c r="F14" s="1147">
        <f>IF(ISNUMBER(E14/B14),E14/B14," - ")</f>
        <v>585.5</v>
      </c>
      <c r="G14" s="1146">
        <f>SUBTOTAL(9,G8:G13)</f>
        <v>919</v>
      </c>
      <c r="H14" s="1147">
        <f>IF(ISNUMBER(G14/B14),G14/B14," - ")</f>
        <v>459.5</v>
      </c>
      <c r="I14" s="1146">
        <f>SUBTOTAL(9,I8:I13)</f>
        <v>1036</v>
      </c>
      <c r="J14" s="1147">
        <f>IF(ISNUMBER(I14/B14),I14/B14," - ")</f>
        <v>518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216</v>
      </c>
      <c r="D17" s="452">
        <f>IF(ISNUMBER(C17/Datos!BH17),C17/Datos!BH17," - ")</f>
        <v>108</v>
      </c>
      <c r="E17" s="451">
        <f>IF(ISNUMBER(IF(D_I="SI",Datos!J17,Datos!J17+Datos!AD17)),IF(D_I="SI",Datos!J17,Datos!J17+Datos!AD17)," - ")</f>
        <v>2070</v>
      </c>
      <c r="F17" s="452">
        <f>IF(ISNUMBER(E17/B17),E17/B17," - ")</f>
        <v>1035</v>
      </c>
      <c r="G17" s="451">
        <f>IF(ISNUMBER(IF(D_I="SI",Datos!K17,Datos!K17+Datos!AE17)),IF(D_I="SI",Datos!K17,Datos!K17+Datos!AE17)," - ")</f>
        <v>2114</v>
      </c>
      <c r="H17" s="452">
        <f>IF(ISNUMBER(G17/B17),G17/B17," - ")</f>
        <v>1057</v>
      </c>
      <c r="I17" s="451">
        <f>IF(ISNUMBER(IF(D_I="SI",Datos!L17,Datos!L17+Datos!AF17)),IF(D_I="SI",Datos!L17,Datos!L17+Datos!AF17)," - ")</f>
        <v>224</v>
      </c>
      <c r="J17" s="452">
        <f>IF(ISNUMBER(I17/B17),I17/B17," - ")</f>
        <v>112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102</v>
      </c>
      <c r="F18" s="452">
        <f>IF(ISNUMBER(E18/B18),E18/B18," - ")</f>
        <v>102</v>
      </c>
      <c r="G18" s="451">
        <f>IF(ISNUMBER(IF(D_I="SI",Datos!K18,Datos!K18+Datos!AE18)),IF(D_I="SI",Datos!K18,Datos!K18+Datos!AE18)," - ")</f>
        <v>103</v>
      </c>
      <c r="H18" s="452">
        <f>IF(ISNUMBER(G18/B18),G18/B18," - ")</f>
        <v>103</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231</v>
      </c>
      <c r="D23" s="1147" t="str">
        <f>IF(ISNUMBER(C23/Datos!BI23),C23/Datos!BI23," - ")</f>
        <v xml:space="preserve"> - </v>
      </c>
      <c r="E23" s="1146">
        <f>SUBTOTAL(9,E15:E22)</f>
        <v>2172</v>
      </c>
      <c r="F23" s="1147">
        <f>IF(ISNUMBER(E23/B23),E23/B23," - ")</f>
        <v>1086</v>
      </c>
      <c r="G23" s="1146">
        <f>SUBTOTAL(9,G15:G22)</f>
        <v>2217</v>
      </c>
      <c r="H23" s="1147">
        <f>IF(ISNUMBER(G23/B23),G23/B23," - ")</f>
        <v>1108.5</v>
      </c>
      <c r="I23" s="1146">
        <f>SUBTOTAL(9,I15:I22)</f>
        <v>238</v>
      </c>
      <c r="J23" s="1147">
        <f>IF(ISNUMBER(I23/B23),I23/B23," - ")</f>
        <v>119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1015</v>
      </c>
      <c r="D31" s="1085" t="str">
        <f>IF(ISNUMBER(C31/Datos!BI31),C31/Datos!BI31," - ")</f>
        <v xml:space="preserve"> - </v>
      </c>
      <c r="E31" s="1084">
        <f>SUBTOTAL(9,E9:E30)</f>
        <v>3343</v>
      </c>
      <c r="F31" s="1085">
        <f>IF(ISNUMBER(E31/B31),E31/B31," - ")</f>
        <v>1671.5</v>
      </c>
      <c r="G31" s="1084">
        <f>SUBTOTAL(9,G9:G30)</f>
        <v>3136</v>
      </c>
      <c r="H31" s="1085">
        <f>IF(ISNUMBER(G31/B31),G31/B31," - ")</f>
        <v>1568</v>
      </c>
      <c r="I31" s="1084">
        <f>SUBTOTAL(9,I9:I30)</f>
        <v>1274</v>
      </c>
      <c r="J31" s="1085">
        <f>IF(ISNUMBER(I31/B31),I31/B31," - ")</f>
        <v>637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77kJMghaXqTIeslAzReq+XpbBVwJ8VT0kbSI34TDyKdZ8KU4emcp2uCy3uQiUqSTxFZxQZyvxJwLSPLo/p6Zg==" saltValue="nItAQfj3DwU8li4Hdrxd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PUENTE GENIL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1.2222222222222221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213</v>
      </c>
      <c r="AM12" s="914">
        <f>IF(ISNUMBER(Datos!N12+DatosP!N17),Datos!N12+DatosP!N17," - ")</f>
        <v>295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12.510989010989011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-3.6029411764705879E-2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301</v>
      </c>
      <c r="AE14" s="1257">
        <f t="shared" si="1"/>
        <v>0</v>
      </c>
      <c r="AF14" s="1257">
        <f t="shared" si="1"/>
        <v>1</v>
      </c>
      <c r="AG14" s="1257">
        <f t="shared" si="1"/>
        <v>0</v>
      </c>
      <c r="AH14" s="1257">
        <f t="shared" si="1"/>
        <v>1311</v>
      </c>
      <c r="AI14" s="1257">
        <f t="shared" si="1"/>
        <v>0</v>
      </c>
      <c r="AJ14" s="1257">
        <f t="shared" si="1"/>
        <v>0</v>
      </c>
      <c r="AK14" s="1257">
        <f t="shared" si="1"/>
        <v>0</v>
      </c>
      <c r="AL14" s="1257">
        <f t="shared" si="1"/>
        <v>222</v>
      </c>
      <c r="AM14" s="1257">
        <f t="shared" si="1"/>
        <v>295</v>
      </c>
      <c r="AN14" s="1257">
        <f t="shared" si="1"/>
        <v>0</v>
      </c>
      <c r="AO14" s="1257">
        <f t="shared" si="1"/>
        <v>0</v>
      </c>
      <c r="AP14" s="1262">
        <f>IF(ISNUMBER(((Datos!L14/Datos!K14)*11)/factor_trimestre),((Datos!L14/Datos!K14)*11)/factor_trimestre," - ")</f>
        <v>13.54054054054054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v>
      </c>
      <c r="AU14" s="1257" t="str">
        <f>IF(ISNUMBER((DatosP!#REF!-DatosP!#REF!+DatosP!#REF!)/(DatosP!#REF!+DatosP!#REF!-DatosP!#REF!-DatosP!#REF!)),(DatosP!#REF!-DatosP!#REF!+DatosP!#REF!)/(DatosP!#REF!+DatosP!#REF!-DatosP!#REF!-DatosP!#REF!)," - ")</f>
        <v xml:space="preserve"> - </v>
      </c>
      <c r="AV14" s="1263">
        <f>SUBTOTAL(9,AV9:AV13)</f>
        <v>-3.6029411764705879E-2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1.1808750563824988</v>
      </c>
      <c r="AQ23" s="1262">
        <f>IF(ISNUMBER(((Datos!M23/Datos!L23)*11)/factor_trimestre),((Datos!M23/Datos!L23)*11)/factor_trimestre," - ")</f>
        <v>11.647058823529411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0.35897435897435898</v>
      </c>
      <c r="AW23" s="1265">
        <f>IF(ISNUMBER((Datos!Q23-Datos!R23)/(Datos!S23-Datos!Q23+Datos!R23)),(Datos!Q23-Datos!R23)/(Datos!S23-Datos!Q23+Datos!R23)," - ")</f>
        <v>-1.680672268907563E-2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301</v>
      </c>
      <c r="AE31" s="1284">
        <f t="shared" si="9"/>
        <v>0</v>
      </c>
      <c r="AF31" s="1285">
        <f t="shared" si="9"/>
        <v>1</v>
      </c>
      <c r="AG31" s="1285">
        <f t="shared" si="9"/>
        <v>0</v>
      </c>
      <c r="AH31" s="1285">
        <f t="shared" si="9"/>
        <v>1311</v>
      </c>
      <c r="AI31" s="1285">
        <f t="shared" si="9"/>
        <v>0</v>
      </c>
      <c r="AJ31" s="1286">
        <f t="shared" si="9"/>
        <v>0</v>
      </c>
      <c r="AK31" s="1286">
        <f t="shared" si="9"/>
        <v>0</v>
      </c>
      <c r="AL31" s="1278">
        <f t="shared" si="9"/>
        <v>222</v>
      </c>
      <c r="AM31" s="1278">
        <f t="shared" si="9"/>
        <v>295</v>
      </c>
      <c r="AN31" s="1278">
        <f t="shared" si="9"/>
        <v>0</v>
      </c>
      <c r="AO31" s="1278">
        <f t="shared" si="9"/>
        <v>0</v>
      </c>
      <c r="AP31" s="1278">
        <f>IF(ISNUMBER(((Datos!L31/Datos!K31)*11)/factor_trimestre),((Datos!L31/Datos!K31)*11)/factor_trimestre," - ")</f>
        <v>4.5001649620587267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-2.4893314366998577E-2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111.24567407319711</v>
      </c>
      <c r="AM33" s="1006"/>
      <c r="AN33" s="1006">
        <f>IF(ISNUMBER(STDEV(AN8:AN30)),STDEV(AN8:AN30),"-")</f>
        <v>0</v>
      </c>
      <c r="AO33" s="1012">
        <f>IF(ISNUMBER(STDEV(AO8:AO30)),STDEV(AO8:AO30),"-")</f>
        <v>0</v>
      </c>
      <c r="AP33" s="1065">
        <f>IF(ISNUMBER(STDEV(AP8:AP30)),STDEV(AP8:AP30),"-")</f>
        <v>6.8396620338493488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3PqFJDDzEpNCfwH6QWktwNZUii7CeAYew/dz2koqM0Q/RraDj+fpXgzlOxOUUfb23lT7UFfl22qMFJa/2+v1A==" saltValue="iWUP0B1GqSC8Qn2hF/+z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PUENTE GENIL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O/+AXMGAtc0/omOgukFy+D8D5ALa3YAzraDMz9nTbI3e0KW++iaXwnAVMmgwodrcUteQ6cI6/WWo0kSTfhFUw==" saltValue="Mipxmf07HmNkX8xkTBWq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PUENTE GENIL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213</v>
      </c>
      <c r="E12" s="452">
        <f t="shared" si="0"/>
        <v>106.5</v>
      </c>
      <c r="F12" s="451">
        <f>IF(ISNUMBER(Datos!N12),Datos!N12," - ")</f>
        <v>295</v>
      </c>
      <c r="G12" s="452">
        <f t="shared" si="1"/>
        <v>147.5</v>
      </c>
      <c r="H12" s="451">
        <f>IF(ISNUMBER(Datos!O12),Datos!O12," - ")</f>
        <v>448</v>
      </c>
      <c r="I12" s="452">
        <f t="shared" si="2"/>
        <v>224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222</v>
      </c>
      <c r="E14" s="1147">
        <f t="shared" si="0"/>
        <v>74</v>
      </c>
      <c r="F14" s="1146">
        <f>SUBTOTAL(9,F9:F13)</f>
        <v>295</v>
      </c>
      <c r="G14" s="1147">
        <f t="shared" si="1"/>
        <v>98.333333333333329</v>
      </c>
      <c r="H14" s="1146">
        <f>SUBTOTAL(9,H9:H13)</f>
        <v>448</v>
      </c>
      <c r="I14" s="1147">
        <f>IF(ISNUMBER(H14/B14),H14/B14," - ")</f>
        <v>149.33333333333334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237</v>
      </c>
      <c r="E17" s="452">
        <f t="shared" si="3"/>
        <v>118.5</v>
      </c>
      <c r="F17" s="451">
        <f>IF(ISNUMBER(Datos!N17),Datos!N17," - ")</f>
        <v>1481</v>
      </c>
      <c r="G17" s="452">
        <f t="shared" si="4"/>
        <v>740.5</v>
      </c>
      <c r="H17" s="451">
        <f>IF(ISNUMBER(Datos!O17),Datos!O17," - ")</f>
        <v>14</v>
      </c>
      <c r="I17" s="452">
        <f t="shared" si="5"/>
        <v>7</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252</v>
      </c>
      <c r="E23" s="1147">
        <f t="shared" si="3"/>
        <v>84</v>
      </c>
      <c r="F23" s="1146">
        <f>SUBTOTAL(9,F16:F22)</f>
        <v>1543</v>
      </c>
      <c r="G23" s="1147">
        <f t="shared" si="4"/>
        <v>514.33333333333337</v>
      </c>
      <c r="H23" s="1146">
        <f>SUBTOTAL(9,H16:H22)</f>
        <v>14</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474</v>
      </c>
      <c r="E31" s="1085">
        <f>IF(ISNUMBER(D31/B31),D31/B31," - ")</f>
        <v>237</v>
      </c>
      <c r="F31" s="1084">
        <f>SUBTOTAL(9,F8:F30)</f>
        <v>1838</v>
      </c>
      <c r="G31" s="1085">
        <f>IF(ISNUMBER(F31/B31),F31/B31," - ")</f>
        <v>919</v>
      </c>
      <c r="H31" s="1084">
        <f>SUBTOTAL(9,H8:H30)</f>
        <v>462</v>
      </c>
      <c r="I31" s="1085">
        <f>IF(ISNUMBER(H31/B31),H31/B31," - ")</f>
        <v>231</v>
      </c>
    </row>
    <row r="34" spans="1:1">
      <c r="A34" s="439" t="str">
        <f>Criterios!A4</f>
        <v>Fecha Informe: 06 may. 2023</v>
      </c>
    </row>
    <row r="39" spans="1:1">
      <c r="A39" s="462"/>
    </row>
  </sheetData>
  <sheetProtection algorithmName="SHA-512" hashValue="fnztMEWHXv/++DD3bEkDGKtRVT1OQF1AQE6vXvIyWTbGpKGtHEw2lT8/M4ROmRhGSMROzW1atoqvDCDyit6dvA==" saltValue="NAeFH+7qsnm7u5ly+o14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PUENTE GENIL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252</v>
      </c>
      <c r="C12" s="489">
        <f>IF(ISNUMBER(Datos!Q12),Datos!Q12," - ")</f>
        <v>301</v>
      </c>
      <c r="D12" s="456">
        <f>IF(ISNUMBER(Datos!R12),Datos!R12," - ")</f>
        <v>1311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252</v>
      </c>
      <c r="C14" s="1150">
        <f>SUBTOTAL(9,C9:C13)</f>
        <v>301</v>
      </c>
      <c r="D14" s="1148">
        <f>SUBTOTAL(9,D9:D13)</f>
        <v>1318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61</v>
      </c>
      <c r="C17" s="489">
        <f>IF(ISNUMBER(Datos!Q17),Datos!Q17," - ")</f>
        <v>47</v>
      </c>
      <c r="D17" s="456">
        <f>IF(ISNUMBER(Datos!R17),Datos!R17," - ")</f>
        <v>53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47</v>
      </c>
      <c r="D23" s="1148">
        <f>SUBTOTAL(9,D16:D22)</f>
        <v>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313</v>
      </c>
      <c r="C31" s="1089">
        <f>SUBTOTAL(9,C8:C30)</f>
        <v>348</v>
      </c>
      <c r="D31" s="1090">
        <f>SUBTOTAL(9,D8:D30)</f>
        <v>1371</v>
      </c>
    </row>
    <row r="32" spans="1:4" ht="7.5" customHeight="1"/>
    <row r="33" spans="1:1" ht="6" customHeight="1"/>
    <row r="34" spans="1:1">
      <c r="A34" s="439" t="str">
        <f>Criterios!A4</f>
        <v>Fecha Informe: 06 may. 2023</v>
      </c>
    </row>
    <row r="39" spans="1:1">
      <c r="A39" s="462"/>
    </row>
  </sheetData>
  <sheetProtection algorithmName="SHA-512" hashValue="viO3xqSRS5TGjF6m2NOYrq1rB2T7U+kkNtZAoGwsXJQ7Y/mFuNsePv47hU/xufGbX3YoKKcFkoXqj1a5yp+Gbg==" saltValue="S/2pnaUhcCQBGKVIqM97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PUENTE GENIL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-0.16666666666666666</v>
      </c>
      <c r="D10" s="515">
        <f>IF(ISNUMBER((Datos!K10-Datos!U10)/Datos!U10),(Datos!K10-Datos!U10)/Datos!U10," - ")</f>
        <v>1.25</v>
      </c>
      <c r="E10" s="515">
        <f>IF(ISNUMBER((Datos!L10-Datos!V10)/Datos!V10),(Datos!L10-Datos!V10)/Datos!V10," - ")</f>
        <v>-0.8</v>
      </c>
      <c r="F10" s="515">
        <f>IF(ISNUMBER((Datos!M10-Datos!W10)/Datos!W10),(Datos!M10-Datos!W10)/Datos!W10," - ")</f>
        <v>1.25</v>
      </c>
      <c r="G10" s="516" t="str">
        <f>IF(ISNUMBER((Datos!N10-Datos!X10)/Datos!X10),(Datos!N10-Datos!X10)/Datos!X10," - ")</f>
        <v xml:space="preserve"> - </v>
      </c>
      <c r="H10" s="514">
        <f>IF(ISNUMBER(((NºAsuntos!G10/NºAsuntos!E10)-Datos!BD10)/Datos!BD10),((NºAsuntos!G10/NºAsuntos!E10)-Datos!BD10)/Datos!BD10," - ")</f>
        <v>1.7</v>
      </c>
      <c r="I10" s="515">
        <f>IF(ISNUMBER(((NºAsuntos!I10/NºAsuntos!G10)-Datos!BE10)/Datos!BE10),((NºAsuntos!I10/NºAsuntos!G10)-Datos!BE10)/Datos!BE10," - ")</f>
        <v>-0.91111111111111109</v>
      </c>
      <c r="J10" s="521">
        <f>IF(ISNUMBER((('Resol  Asuntos'!D10/NºAsuntos!G10)-Datos!BF10)/Datos!BF10),(('Resol  Asuntos'!D10/NºAsuntos!G10)-Datos!BF10)/Datos!BF10," - ")</f>
        <v>0</v>
      </c>
      <c r="K10" s="522">
        <f>IF(ISNUMBER((((NºAsuntos!C10+NºAsuntos!E10)/NºAsuntos!G10)-Datos!BG10)/Datos!BG10),(((NºAsuntos!C10+NºAsuntos!E10)/NºAsuntos!G10)-Datos!BG10)/Datos!BG10," - ")</f>
        <v>-0.50617283950617287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-0.24148003894839337</v>
      </c>
      <c r="C12" s="515">
        <f>IF(ISNUMBER(
   IF(J_V="SI",(Datos!J12-Datos!T12)/Datos!T12,(Datos!J12+Datos!Z12-(Datos!T12+Datos!AH12))/(Datos!T12+Datos!AH12))
     ),IF(J_V="SI",(Datos!J12-Datos!T12)/Datos!T12,(Datos!J12+Datos!Z12-(Datos!T12+Datos!AH12))/(Datos!T12+Datos!AH12))," - ")</f>
        <v>0.16135458167330677</v>
      </c>
      <c r="D12" s="515">
        <f>IF(ISNUMBER(
   IF(J_V="SI",(Datos!K12-Datos!U12)/Datos!U12,(Datos!K12+Datos!AA12-(Datos!U12+Datos!AI12))/(Datos!U12+Datos!AI12))
     ),IF(J_V="SI",(Datos!K12-Datos!U12)/Datos!U12,(Datos!K12+Datos!AA12-(Datos!U12+Datos!AI12))/(Datos!U12+Datos!AI12))," - ")</f>
        <v>-0.27374301675977653</v>
      </c>
      <c r="E12" s="515">
        <f>IF(ISNUMBER(
   IF(J_V="SI",(Datos!L12-Datos!V12)/Datos!V12,(Datos!L12+Datos!AB12-(Datos!V12+Datos!AJ12))/(Datos!V12+Datos!AJ12))
     ),IF(J_V="SI",(Datos!L12-Datos!V12)/Datos!V12,(Datos!L12+Datos!AB12-(Datos!V12+Datos!AJ12))/(Datos!V12+Datos!AJ12))," - ")</f>
        <v>0.32862644415917841</v>
      </c>
      <c r="F12" s="515">
        <f>IF(ISNUMBER((Datos!M12-Datos!W12)/Datos!W12),(Datos!M12-Datos!W12)/Datos!W12," - ")</f>
        <v>5.9701492537313432E-2</v>
      </c>
      <c r="G12" s="516">
        <f>IF(ISNUMBER((Datos!N12-Datos!X12)/Datos!X12),(Datos!N12-Datos!X12)/Datos!X12," - ")</f>
        <v>-0.20698924731182797</v>
      </c>
      <c r="H12" s="514">
        <f>IF(ISNUMBER(((NºAsuntos!G12/NºAsuntos!E12)-Datos!BD12)/Datos!BD12),((NºAsuntos!G12/NºAsuntos!E12)-Datos!BD12)/Datos!BD12," - ")</f>
        <v>-0.37464664564907008</v>
      </c>
      <c r="I12" s="515">
        <f>IF(ISNUMBER(((NºAsuntos!I12/NºAsuntos!G12)-Datos!BE12)/Datos!BE12),((NºAsuntos!I12/NºAsuntos!G12)-Datos!BE12)/Datos!BE12," - ")</f>
        <v>0.82941641157302259</v>
      </c>
      <c r="J12" s="521">
        <f>IF(ISNUMBER((('Resol  Asuntos'!D12/NºAsuntos!G12)-Datos!BF12)/Datos!BF12),(('Resol  Asuntos'!D12/NºAsuntos!G12)-Datos!BF12)/Datos!BF12," - ")</f>
        <v>-0.21160049627791555</v>
      </c>
      <c r="K12" s="522">
        <f>IF(ISNUMBER((((NºAsuntos!C12+NºAsuntos!E12)/NºAsuntos!G12)-Datos!BG12)/Datos!BG12),(((NºAsuntos!C12+NºAsuntos!E12)/NºAsuntos!G12)-Datos!BG12)/Datos!BG12," - ")</f>
        <v>0.31861909631481272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-0.23883495145631067</v>
      </c>
      <c r="C14" s="1152">
        <f>IF(ISNUMBER(
   IF(J_V="SI",(Datos!J14-Datos!T14)/Datos!T14,(Datos!J14+Datos!Z14-(Datos!T14+Datos!AH14))/(Datos!T14+Datos!AH14))
     ),IF(J_V="SI",(Datos!J14-Datos!T14)/Datos!T14,(Datos!J14+Datos!Z14-(Datos!T14+Datos!AH14))/(Datos!T14+Datos!AH14))," - ")</f>
        <v>0.15940594059405941</v>
      </c>
      <c r="D14" s="1152">
        <f>IF(ISNUMBER(
   IF(J_V="SI",(Datos!K14-Datos!U14)/Datos!U14,(Datos!K14+Datos!AA14-(Datos!U14+Datos!AI14))/(Datos!U14+Datos!AI14))
     ),IF(J_V="SI",(Datos!K14-Datos!U14)/Datos!U14,(Datos!K14+Datos!AA14-(Datos!U14+Datos!AI14))/(Datos!U14+Datos!AI14))," - ")</f>
        <v>-0.26889419252187746</v>
      </c>
      <c r="E14" s="1152">
        <f>IF(ISNUMBER(
   IF(J_V="SI",(Datos!L14-Datos!V14)/Datos!V14,(Datos!L14+Datos!AB14-(Datos!V14+Datos!AJ14))/(Datos!V14+Datos!AJ14))
     ),IF(J_V="SI",(Datos!L14-Datos!V14)/Datos!V14,(Datos!L14+Datos!AB14-(Datos!V14+Datos!AJ14))/(Datos!V14+Datos!AJ14))," - ")</f>
        <v>0.32142857142857145</v>
      </c>
      <c r="F14" s="1153">
        <f>IF(ISNUMBER((Datos!M14-Datos!W14)/Datos!W14),(Datos!M14-Datos!W14)/Datos!W14," - ")</f>
        <v>8.2926829268292687E-2</v>
      </c>
      <c r="G14" s="1154">
        <f>IF(ISNUMBER((Datos!N14-Datos!X14)/Datos!X14),(Datos!N14-Datos!X14)/Datos!X14," - ")</f>
        <v>-0.20698924731182797</v>
      </c>
      <c r="H14" s="1154">
        <f>IF(ISNUMBER(((NºAsuntos!G14/NºAsuntos!E14)-Datos!BD14)/Datos!BD14),((NºAsuntos!G14/NºAsuntos!E14)-Datos!BD14)/Datos!BD14," - ")</f>
        <v>-0.36941343676097033</v>
      </c>
      <c r="I14" s="1154">
        <f>IF(ISNUMBER(((NºAsuntos!I14/NºAsuntos!G14)-Datos!BE14)/Datos!BE14),((NºAsuntos!I14/NºAsuntos!G14)-Datos!BE14)/Datos!BE14," - ")</f>
        <v>0.80743820923363907</v>
      </c>
      <c r="J14" s="1154">
        <f>IF(ISNUMBER((('Resol  Asuntos'!D14/NºAsuntos!G14)-Datos!BF14)/Datos!BF14),(('Resol  Asuntos'!D14/NºAsuntos!G14)-Datos!BF14)/Datos!BF14," - ")</f>
        <v>-0.1924212256615655</v>
      </c>
      <c r="K14" s="1154">
        <f>IF(ISNUMBER((((NºAsuntos!C14+NºAsuntos!E14)/NºAsuntos!G14)-Datos!BG14)/Datos!BG14),(((NºAsuntos!C14+NºAsuntos!E14)/NºAsuntos!G14)-Datos!BG14)/Datos!BG14," - ")</f>
        <v>0.31079978237214378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-0.34545454545454546</v>
      </c>
      <c r="C17" s="515">
        <f>IF(ISNUMBER(
   IF(D_I="SI",(Datos!J17-Datos!T17)/Datos!T17,(Datos!J17+Datos!AD17-(Datos!T17+Datos!AL17))/(Datos!T17+Datos!AL17))
     ),IF(D_I="SI",(Datos!J17-Datos!T17)/Datos!T17,(Datos!J17+Datos!AD17-(Datos!T17+Datos!AL17))/(Datos!T17+Datos!AL17))," - ")</f>
        <v>-5.0458715596330278E-2</v>
      </c>
      <c r="D17" s="515">
        <f>IF(ISNUMBER(
   IF(D_I="SI",(Datos!K17-Datos!U17)/Datos!U17,(Datos!K17+Datos!AE17-(Datos!U17+Datos!AM17))/(Datos!U17+Datos!AM17))
     ),IF(D_I="SI",(Datos!K17-Datos!U17)/Datos!U17,(Datos!K17+Datos!AE17-(Datos!U17+Datos!AM17))/(Datos!U17+Datos!AM17))," - ")</f>
        <v>-9.6581196581196585E-2</v>
      </c>
      <c r="E17" s="515">
        <f>IF(ISNUMBER(
   IF(D_I="SI",(Datos!L17-Datos!V17)/Datos!V17,(Datos!L17+Datos!AF17-(Datos!V17+Datos!AN17))/(Datos!V17+Datos!AN17))
     ),IF(D_I="SI",(Datos!L17-Datos!V17)/Datos!V17,(Datos!L17+Datos!AF17-(Datos!V17+Datos!AN17))/(Datos!V17+Datos!AN17))," - ")</f>
        <v>3.7037037037037035E-2</v>
      </c>
      <c r="F17" s="515">
        <f>IF(ISNUMBER((Datos!M17-Datos!W17)/Datos!W17),(Datos!M17-Datos!W17)/Datos!W17," - ")</f>
        <v>-0.21782178217821782</v>
      </c>
      <c r="G17" s="516">
        <f>IF(ISNUMBER((Datos!N17-Datos!X17)/Datos!X17),(Datos!N17-Datos!X17)/Datos!X17," - ")</f>
        <v>-1.9205298013245033E-2</v>
      </c>
      <c r="H17" s="514">
        <f>IF(ISNUMBER(((NºAsuntos!G17/NºAsuntos!E17)-Datos!BD17)/Datos!BD17),((NºAsuntos!G17/NºAsuntos!E17)-Datos!BD17)/Datos!BD17," - ")</f>
        <v>-4.8573434080680412E-2</v>
      </c>
      <c r="I17" s="515">
        <f>IF(ISNUMBER(((NºAsuntos!I17/NºAsuntos!G17)-Datos!BE17)/Datos!BE17),((NºAsuntos!I17/NºAsuntos!G17)-Datos!BE17)/Datos!BE17," - ")</f>
        <v>0.14790286975717432</v>
      </c>
      <c r="J17" s="521">
        <f>IF(ISNUMBER((('Resol  Asuntos'!D17/NºAsuntos!G17)-Datos!BF17)/Datos!BF17),(('Resol  Asuntos'!D17/NºAsuntos!G17)-Datos!BF17)/Datos!BF17," - ")</f>
        <v>-0.13420197270436601</v>
      </c>
      <c r="K17" s="522">
        <f>IF(ISNUMBER((((NºAsuntos!C17+NºAsuntos!E17)/NºAsuntos!G17)-Datos!BG17)/Datos!BG17),(((NºAsuntos!C17+NºAsuntos!E17)/NºAsuntos!G17)-Datos!BG17)/Datos!BG17," - ")</f>
        <v>8.12266544041426E-3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0.59375</v>
      </c>
      <c r="D18" s="515">
        <f>IF(ISNUMBER(
   IF(D_I="SI",(Datos!K18-Datos!U18)/Datos!U18,(Datos!K18+Datos!AE18-(Datos!U18+Datos!AM18))/(Datos!U18+Datos!AM18))
     ),IF(D_I="SI",(Datos!K18-Datos!U18)/Datos!U18,(Datos!K18+Datos!AE18-(Datos!U18+Datos!AM18))/(Datos!U18+Datos!AM18))," - ")</f>
        <v>0.47142857142857142</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0.25</v>
      </c>
      <c r="G18" s="516">
        <f>IF(ISNUMBER((Datos!N18-Datos!X18)/Datos!X18),(Datos!N18-Datos!X18)/Datos!X18," - ")</f>
        <v>0.67567567567567566</v>
      </c>
      <c r="H18" s="514">
        <f>IF(ISNUMBER(((NºAsuntos!G18/NºAsuntos!E18)-Datos!BD18)/Datos!BD18),((NºAsuntos!G18/NºAsuntos!E18)-Datos!BD18)/Datos!BD18," - ")</f>
        <v>-7.6750700280112077E-2</v>
      </c>
      <c r="I18" s="515">
        <f>IF(ISNUMBER(((NºAsuntos!I18/NºAsuntos!G18)-Datos!BE18)/Datos!BE18),((NºAsuntos!I18/NºAsuntos!G18)-Datos!BE18)/Datos!BE18," - ")</f>
        <v>-0.36569579288025889</v>
      </c>
      <c r="J18" s="521">
        <f>IF(ISNUMBER((('Resol  Asuntos'!D18/NºAsuntos!G18)-Datos!BF18)/Datos!BF18),(('Resol  Asuntos'!D18/NºAsuntos!G18)-Datos!BF18)/Datos!BF18," - ")</f>
        <v>-0.15048543689320396</v>
      </c>
      <c r="K18" s="522">
        <f>IF(ISNUMBER((((NºAsuntos!C18+NºAsuntos!E18)/NºAsuntos!G18)-Datos!BG18)/Datos!BG18),(((NºAsuntos!C18+NºAsuntos!E18)/NºAsuntos!G18)-Datos!BG18)/Datos!BG18," - ")</f>
        <v>-6.4534551684751543E-2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-0.34188034188034189</v>
      </c>
      <c r="C23" s="1152">
        <f>IF(ISNUMBER(
   IF(Criterios!B14="SI",(Datos!J23-Datos!T23)/Datos!T23,(Datos!J23+Datos!AD23-(Datos!T23+Datos!AL23))/(Datos!T23+Datos!AL23))
     ),IF(Criterios!B14="SI",(Datos!J23-Datos!T23)/Datos!T23,(Datos!J23+Datos!AD23-(Datos!T23+Datos!AL23))/(Datos!T23+Datos!AL23))," - ")</f>
        <v>-3.2085561497326207E-2</v>
      </c>
      <c r="D23" s="1152">
        <f>IF(ISNUMBER(
   IF(Criterios!B14="SI",(Datos!K23-Datos!U23)/Datos!U23,(Datos!K23+Datos!AE23-(Datos!U23+Datos!AM23))/(Datos!U23+Datos!AM23))
     ),IF(Criterios!B14="SI",(Datos!K23-Datos!U23)/Datos!U23,(Datos!K23+Datos!AE23-(Datos!U23+Datos!AM23))/(Datos!U23+Datos!AM23))," - ")</f>
        <v>-8.0082987551867227E-2</v>
      </c>
      <c r="E23" s="1152">
        <f>IF(ISNUMBER(
   IF(Criterios!B14="SI",(Datos!L23-Datos!V23)/Datos!V23,(Datos!L23+Datos!AF23-(Datos!V23+Datos!AN23))/(Datos!V23+Datos!AN23))
     ),IF(Criterios!B14="SI",(Datos!L23-Datos!V23)/Datos!V23,(Datos!L23+Datos!AF23-(Datos!V23+Datos!AN23))/(Datos!V23+Datos!AN23))," - ")</f>
        <v>3.0303030303030304E-2</v>
      </c>
      <c r="F23" s="1153">
        <f>IF(ISNUMBER((Datos!M23-Datos!W23)/Datos!W23),(Datos!M23-Datos!W23)/Datos!W23," - ")</f>
        <v>-0.2</v>
      </c>
      <c r="G23" s="1154">
        <f>IF(ISNUMBER((Datos!N23-Datos!X23)/Datos!X23),(Datos!N23-Datos!X23)/Datos!X23," - ")</f>
        <v>-2.5856496444731738E-3</v>
      </c>
      <c r="H23" s="1154">
        <f>IF(ISNUMBER(((NºAsuntos!G23/NºAsuntos!E23)-Datos!BD23)/Datos!BD23),((NºAsuntos!G23/NºAsuntos!E23)-Datos!BD23)/Datos!BD23," - ")</f>
        <v>-4.9588500951376548E-2</v>
      </c>
      <c r="I23" s="1154">
        <f>IF(ISNUMBER(((NºAsuntos!I23/NºAsuntos!G23)-Datos!BE23)/Datos!BE23),((NºAsuntos!I23/NºAsuntos!G23)-Datos!BE23)/Datos!BE23," - ")</f>
        <v>0.11999562608493584</v>
      </c>
      <c r="J23" s="1154">
        <f>IF(ISNUMBER((('Resol  Asuntos'!D23/NºAsuntos!G23)-Datos!BF23)/Datos!BF23),(('Resol  Asuntos'!D23/NºAsuntos!G23)-Datos!BF23)/Datos!BF23," - ")</f>
        <v>-0.13035633739287328</v>
      </c>
      <c r="K23" s="1154">
        <f>IF(ISNUMBER((((NºAsuntos!C23+NºAsuntos!E23)/NºAsuntos!G23)-Datos!BG23)/Datos!BG23),(((NºAsuntos!C23+NºAsuntos!E23)/NºAsuntos!G23)-Datos!BG23)/Datos!BG23," - ")</f>
        <v>6.6251065727002973E-3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-0.26502534395365679</v>
      </c>
      <c r="C31" s="1092">
        <f>IF(ISNUMBER(
   IF(J_V="SI",(Datos!J31-Datos!T31)/Datos!T31,(Datos!J31+Datos!Z31-(Datos!T31+Datos!AH31))/(Datos!T31+Datos!AH31))
     ),IF(J_V="SI",(Datos!J31-Datos!T31)/Datos!T31,(Datos!J31+Datos!Z31-(Datos!T31+Datos!AH31))/(Datos!T31+Datos!AH31))," - ")</f>
        <v>2.7350952673632453E-2</v>
      </c>
      <c r="D31" s="1092">
        <f>IF(ISNUMBER(
   IF(J_V="SI",(Datos!K31-Datos!U31)/Datos!U31,(Datos!K31+Datos!AA31-(Datos!U31+Datos!AI31))/(Datos!U31+Datos!AI31))
     ),IF(J_V="SI",(Datos!K31-Datos!U31)/Datos!U31,(Datos!K31+Datos!AA31-(Datos!U31+Datos!AI31))/(Datos!U31+Datos!AI31))," - ")</f>
        <v>-0.14480501772566132</v>
      </c>
      <c r="E31" s="1092">
        <f>IF(ISNUMBER(
   IF(J_V="SI",(Datos!L31-Datos!V31)/Datos!V31,(Datos!L31+Datos!AB31-(Datos!V31+Datos!AJ31))/(Datos!V31+Datos!AJ31))
     ),IF(J_V="SI",(Datos!L31-Datos!V31)/Datos!V31,(Datos!L31+Datos!AB31-(Datos!V31+Datos!AJ31))/(Datos!V31+Datos!AJ31))," - ")</f>
        <v>0.25517241379310346</v>
      </c>
      <c r="F31" s="1093">
        <f>IF(ISNUMBER((Datos!M31-Datos!W31)/Datos!W31),(Datos!M31-Datos!W31)/Datos!W31," - ")</f>
        <v>-8.8461538461538466E-2</v>
      </c>
      <c r="G31" s="1094">
        <f>IF(ISNUMBER((Datos!N31-Datos!X31)/Datos!X31),(Datos!N31-Datos!X31)/Datos!X31," - ")</f>
        <v>-4.2209484106305366E-2</v>
      </c>
      <c r="H31" s="1095">
        <f>IF(ISNUMBER((Tasas!B31-Datos!BD31)/Datos!BD31),(Tasas!B31-Datos!BD31)/Datos!BD31," - ")</f>
        <v>-0.16757269748109546</v>
      </c>
      <c r="I31" s="1096">
        <f>IF(ISNUMBER((Tasas!C31-Datos!BE31)/Datos!BE31),(Tasas!C31-Datos!BE31)/Datos!BE31," - ")</f>
        <v>0.46770320197044335</v>
      </c>
      <c r="J31" s="1097">
        <f>IF(ISNUMBER((Tasas!D31-Datos!BF31)/Datos!BF31),(Tasas!D31-Datos!BF31)/Datos!BF31," - ")</f>
        <v>-0.19788774771847967</v>
      </c>
      <c r="K31" s="1097">
        <f>IF(ISNUMBER((Tasas!E31-Datos!BG31)/Datos!BG31),(Tasas!E31-Datos!BG31)/Datos!BG31," - ")</f>
        <v>9.9442050282896405E-2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6bUZSdzXOAgE54pR+RRe7dKmmFqCpbdgs3FrMZw3BcJ0M2pSF1A8Jyl+EcKJmlZagv9Xfvbdx4RKOIA9/m3Fw==" saltValue="6zprntUVqtRism9S08oM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PUENTE GENIL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v>
      </c>
      <c r="C10" s="498">
        <f>IF(ISNUMBER(NºAsuntos!I10/NºAsuntos!G10),NºAsuntos!I10/NºAsuntos!G10," - ")</f>
        <v>0.1111111111111111</v>
      </c>
      <c r="D10" s="499">
        <f>IF(ISNUMBER('Resol  Asuntos'!D10/NºAsuntos!G10),'Resol  Asuntos'!D10/NºAsuntos!G10," - ")</f>
        <v>1</v>
      </c>
      <c r="E10" s="500">
        <f>IF(ISNUMBER((NºAsuntos!C10+NºAsuntos!E10)/NºAsuntos!G10),(NºAsuntos!C10+NºAsuntos!E10)/NºAsuntos!G10," - ")</f>
        <v>1.1111111111111112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0.78044596912521436</v>
      </c>
      <c r="C12" s="498">
        <f>IF(ISNUMBER(NºAsuntos!I12/NºAsuntos!G12),NºAsuntos!I12/NºAsuntos!G12," - ")</f>
        <v>1.1373626373626373</v>
      </c>
      <c r="D12" s="499">
        <f>IF(ISNUMBER('Resol  Asuntos'!D12/NºAsuntos!G12),'Resol  Asuntos'!D12/NºAsuntos!G12," - ")</f>
        <v>0.23406593406593407</v>
      </c>
      <c r="E12" s="500">
        <f>IF(ISNUMBER((NºAsuntos!C12+NºAsuntos!E12)/NºAsuntos!G12),(NºAsuntos!C12+NºAsuntos!E12)/NºAsuntos!G12," - ")</f>
        <v>2.1373626373626373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0.78479931682322801</v>
      </c>
      <c r="C14" s="1156">
        <f>IF(ISNUMBER(NºAsuntos!I14/NºAsuntos!G14),NºAsuntos!I14/NºAsuntos!G14," - ")</f>
        <v>1.1273122959738846</v>
      </c>
      <c r="D14" s="1157">
        <f>IF(ISNUMBER('Resol  Asuntos'!D14/NºAsuntos!G14),'Resol  Asuntos'!D14/NºAsuntos!G14," - ")</f>
        <v>0.24156692056583243</v>
      </c>
      <c r="E14" s="1158">
        <f>IF(ISNUMBER((NºAsuntos!C14+NºAsuntos!E14)/NºAsuntos!G14),(NºAsuntos!C14+NºAsuntos!E14)/NºAsuntos!G14," - ")</f>
        <v>2.1273122959738848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1.021256038647343</v>
      </c>
      <c r="C17" s="498">
        <f>IF(ISNUMBER(NºAsuntos!I17/NºAsuntos!G17),NºAsuntos!I17/NºAsuntos!G17," - ")</f>
        <v>0.10596026490066225</v>
      </c>
      <c r="D17" s="499">
        <f>IF(ISNUMBER('Resol  Asuntos'!D17/NºAsuntos!G17),'Resol  Asuntos'!D17/NºAsuntos!G17," - ")</f>
        <v>0.11210974456007569</v>
      </c>
      <c r="E17" s="500">
        <f>IF(ISNUMBER((NºAsuntos!C17+NºAsuntos!E17)/NºAsuntos!G17),(NºAsuntos!C17+NºAsuntos!E17)/NºAsuntos!G17," - ")</f>
        <v>1.0813623462630084</v>
      </c>
      <c r="G17" s="523"/>
    </row>
    <row r="18" spans="1:7">
      <c r="A18" s="450" t="str">
        <f>Datos!A18</f>
        <v>Jdos. Violencia contra la mujer</v>
      </c>
      <c r="B18" s="497">
        <f>IF(ISNUMBER(NºAsuntos!G18/NºAsuntos!E18),NºAsuntos!G18/NºAsuntos!E18," - ")</f>
        <v>1.0098039215686274</v>
      </c>
      <c r="C18" s="498">
        <f>IF(ISNUMBER(NºAsuntos!I18/NºAsuntos!G18),NºAsuntos!I18/NºAsuntos!G18," - ")</f>
        <v>0.13592233009708737</v>
      </c>
      <c r="D18" s="499">
        <f>IF(ISNUMBER('Resol  Asuntos'!D18/NºAsuntos!G18),'Resol  Asuntos'!D18/NºAsuntos!G18," - ")</f>
        <v>0.14563106796116504</v>
      </c>
      <c r="E18" s="500">
        <f>IF(ISNUMBER((NºAsuntos!C18+NºAsuntos!E18)/NºAsuntos!G18),(NºAsuntos!C18+NºAsuntos!E18)/NºAsuntos!G18," - ")</f>
        <v>1.1359223300970873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1.020718232044199</v>
      </c>
      <c r="C23" s="1156">
        <f>IF(ISNUMBER(NºAsuntos!I23/NºAsuntos!G23),NºAsuntos!I23/NºAsuntos!G23," - ")</f>
        <v>0.10735227785295444</v>
      </c>
      <c r="D23" s="1159">
        <f>IF(ISNUMBER('Resol  Asuntos'!D23/NºAsuntos!G23),'Resol  Asuntos'!D23/NºAsuntos!G23," - ")</f>
        <v>0.11366711772665765</v>
      </c>
      <c r="E23" s="1158">
        <f>IF(ISNUMBER((NºAsuntos!C23+NºAsuntos!E23)/NºAsuntos!G23),(NºAsuntos!C23+NºAsuntos!E23)/NºAsuntos!G23," - ")</f>
        <v>1.0838971583220569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0.93807956924917735</v>
      </c>
      <c r="C31" s="1099">
        <f>IF(ISNUMBER(NºAsuntos!I31/NºAsuntos!G31),NºAsuntos!I31/NºAsuntos!G31," - ")</f>
        <v>0.40625</v>
      </c>
      <c r="D31" s="1100">
        <f>IF(ISNUMBER('Resol  Asuntos'!D31/NºAsuntos!G31),'Resol  Asuntos'!D31/NºAsuntos!G31," - ")</f>
        <v>0.15114795918367346</v>
      </c>
      <c r="E31" s="1101">
        <f>IF(ISNUMBER((NºAsuntos!C31+NºAsuntos!E31)/NºAsuntos!G31),(NºAsuntos!C31+NºAsuntos!E31)/NºAsuntos!G31," - ")</f>
        <v>1.3896683673469388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s0mf6l34uPFJ3vIkX06GBQzKH6hUpfF9jEO9y2MO+63qBLaoqiC9fi1mQp35ZR6nzmn0pAwVxqIogL1JYPqTw==" saltValue="Eyv4uYoloEtHE4Qz/IGt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PUENTE GENIL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1</v>
      </c>
      <c r="AB10" s="374">
        <f>IF(ISNUMBER(Datos!R10),Datos!R10," - ")</f>
        <v>7</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1.8</v>
      </c>
      <c r="AM10" s="284">
        <f>IF(ISNUMBER(((NºAsuntos!I10/NºAsuntos!G10)*11)/factor_trimestre),((NºAsuntos!I10/NºAsuntos!G10)*11)/factor_trimestre," - ")</f>
        <v>1.2222222222222221</v>
      </c>
      <c r="AN10" s="267">
        <f>IF(ISNUMBER('Resol  Asuntos'!D10/NºAsuntos!G10),'Resol  Asuntos'!D10/NºAsuntos!G10," - ")</f>
        <v>1</v>
      </c>
      <c r="AO10" s="268">
        <f>IF(ISNUMBER((NºAsuntos!C10+NºAsuntos!E10)/NºAsuntos!G10),(NºAsuntos!C10+NºAsuntos!E10)/NºAsuntos!G10," - ")</f>
        <v>1.1111111111111112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301</v>
      </c>
      <c r="Y12" s="374">
        <f t="shared" si="0"/>
        <v>301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213</v>
      </c>
      <c r="AJ12" s="243" t="str">
        <f>IF(ISNUMBER(Datos!BW12),Datos!BW12," - ")</f>
        <v xml:space="preserve"> - </v>
      </c>
      <c r="AK12" s="242" t="str">
        <f>IF(ISNUMBER(Datos!BX12),Datos!BX12," - ")</f>
        <v xml:space="preserve"> - </v>
      </c>
      <c r="AL12" s="266">
        <f>IF(ISNUMBER(NºAsuntos!G12/NºAsuntos!E12),NºAsuntos!G12/NºAsuntos!E12," - ")</f>
        <v>0.78044596912521436</v>
      </c>
      <c r="AM12" s="284">
        <f>IF(ISNUMBER(((NºAsuntos!I12/NºAsuntos!G12)*11)/factor_trimestre),((NºAsuntos!I12/NºAsuntos!G12)*11)/factor_trimestre," - ")</f>
        <v>12.510989010989011</v>
      </c>
      <c r="AN12" s="267">
        <f>IF(ISNUMBER('Resol  Asuntos'!D12/NºAsuntos!G12),'Resol  Asuntos'!D12/NºAsuntos!G12," - ")</f>
        <v>0.23406593406593407</v>
      </c>
      <c r="AO12" s="268">
        <f>IF(ISNUMBER((NºAsuntos!C12+NºAsuntos!E12)/NºAsuntos!G12),(NºAsuntos!C12+NºAsuntos!E12)/NºAsuntos!G12," - ")</f>
        <v>2.1373626373626373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301</v>
      </c>
      <c r="Y14" s="1165">
        <f t="shared" si="6"/>
        <v>310</v>
      </c>
      <c r="Z14" s="1165">
        <f t="shared" si="6"/>
        <v>0</v>
      </c>
      <c r="AA14" s="1165">
        <f t="shared" si="6"/>
        <v>1</v>
      </c>
      <c r="AB14" s="1165">
        <f t="shared" si="6"/>
        <v>1318</v>
      </c>
      <c r="AC14" s="1165">
        <f t="shared" si="6"/>
        <v>8</v>
      </c>
      <c r="AD14" s="1165">
        <f t="shared" si="6"/>
        <v>0</v>
      </c>
      <c r="AE14" s="1169">
        <f t="shared" si="6"/>
        <v>0</v>
      </c>
      <c r="AF14" s="1162">
        <f t="shared" si="6"/>
        <v>0</v>
      </c>
      <c r="AG14" s="1170">
        <f t="shared" si="6"/>
        <v>0</v>
      </c>
      <c r="AH14" s="1167">
        <f t="shared" si="6"/>
        <v>0</v>
      </c>
      <c r="AI14" s="1162">
        <f t="shared" si="6"/>
        <v>222</v>
      </c>
      <c r="AJ14" s="1164">
        <f t="shared" si="6"/>
        <v>0</v>
      </c>
      <c r="AK14" s="1167">
        <f>SUBTOTAL(9,AK9:AK13)</f>
        <v>0</v>
      </c>
      <c r="AL14" s="1171">
        <f>IF(ISNUMBER(NºAsuntos!G14/NºAsuntos!E14),NºAsuntos!G14/NºAsuntos!E14," - ")</f>
        <v>0.78479931682322801</v>
      </c>
      <c r="AM14" s="1171">
        <f>IF(ISNUMBER(((NºAsuntos!I14/NºAsuntos!G14)*11)/factor_trimestre),((NºAsuntos!I14/NºAsuntos!G14)*11)/factor_trimestre," - ")</f>
        <v>12.400435255712731</v>
      </c>
      <c r="AN14" s="1172">
        <f>IF(ISNUMBER('Resol  Asuntos'!D14/NºAsuntos!G14),'Resol  Asuntos'!D14/NºAsuntos!G14," - ")</f>
        <v>0.24156692056583243</v>
      </c>
      <c r="AO14" s="1173">
        <f>IF(ISNUMBER((NºAsuntos!C14+NºAsuntos!E14)/NºAsuntos!G14),(NºAsuntos!C14+NºAsuntos!E14)/NºAsuntos!G14," - ")</f>
        <v>2.1273122959738848</v>
      </c>
      <c r="AP14" s="1174" t="str">
        <f t="shared" si="2"/>
        <v xml:space="preserve"> - </v>
      </c>
      <c r="AQ14" s="1174">
        <f>IF(ISNUMBER((H14-W14+K14)/(F14)),(H14-W14+K14)/(F14)," - ")</f>
        <v>-1.8</v>
      </c>
      <c r="AR14" s="1175">
        <f>IF(ISNUMBER((Datos!P14-Datos!Q14)/(Datos!R14-Datos!P14+Datos!Q14)),(Datos!P14-Datos!Q14)/(Datos!R14-Datos!P14+Datos!Q14)," - ")</f>
        <v>-3.5844915874177027E-2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268</v>
      </c>
      <c r="G17" s="373">
        <f>IF(ISNUMBER(IF(D_I="SI",Datos!I17,Datos!I17+Datos!AC17)),IF(D_I="SI",Datos!I17,Datos!I17+Datos!AC17)," - ")</f>
        <v>216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2114</v>
      </c>
      <c r="X17" s="240">
        <f>IF(ISNUMBER(Datos!Q17),Datos!Q17," - ")</f>
        <v>47</v>
      </c>
      <c r="Y17" s="374">
        <f t="shared" ref="Y17:Y22" si="9">SUM(W17:X17)</f>
        <v>2161</v>
      </c>
      <c r="Z17" s="375" t="str">
        <f>IF(ISNUMBER(Datos!CC17),Datos!CC17," - ")</f>
        <v xml:space="preserve"> - </v>
      </c>
      <c r="AA17" s="372">
        <f>IF(ISNUMBER(IF(D_I="SI",Datos!L17,Datos!L17+Datos!AF17)),IF(D_I="SI",Datos!L17,Datos!L17+Datos!AF17)," - ")</f>
        <v>224</v>
      </c>
      <c r="AB17" s="374">
        <f>IF(ISNUMBER(Datos!R17),Datos!R17," - ")</f>
        <v>53</v>
      </c>
      <c r="AC17" s="374">
        <f t="shared" si="8"/>
        <v>277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1.021256038647343</v>
      </c>
      <c r="AM17" s="284">
        <f>IF(ISNUMBER(((NºAsuntos!I17/NºAsuntos!G17)*11)/factor_trimestre),((NºAsuntos!I17/NºAsuntos!G17)*11)/factor_trimestre," - ")</f>
        <v>1.1655629139072847</v>
      </c>
      <c r="AN17" s="267">
        <f>IF(ISNUMBER('Resol  Asuntos'!D17/NºAsuntos!G17),'Resol  Asuntos'!D17/NºAsuntos!G17," - ")</f>
        <v>0.11210974456007569</v>
      </c>
      <c r="AO17" s="268">
        <f>IF(ISNUMBER((NºAsuntos!C17+NºAsuntos!E17)/NºAsuntos!G17),(NºAsuntos!C17+NºAsuntos!E17)/NºAsuntos!G17," - ")</f>
        <v>1.0813623462630084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103</v>
      </c>
      <c r="X18" s="240">
        <f>IF(ISNUMBER(Datos!Q18),Datos!Q18," - ")</f>
        <v>0</v>
      </c>
      <c r="Y18" s="374">
        <f t="shared" si="9"/>
        <v>103</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1.0098039215686274</v>
      </c>
      <c r="AM18" s="284">
        <f>IF(ISNUMBER(((NºAsuntos!I18/NºAsuntos!G18)*11)/factor_trimestre),((NºAsuntos!I18/NºAsuntos!G18)*11)/factor_trimestre," - ")</f>
        <v>1.4951456310679612</v>
      </c>
      <c r="AN18" s="267">
        <f>IF(ISNUMBER('Resol  Asuntos'!D18/NºAsuntos!G18),'Resol  Asuntos'!D18/NºAsuntos!G18," - ")</f>
        <v>0.14563106796116504</v>
      </c>
      <c r="AO18" s="268">
        <f>IF(ISNUMBER((NºAsuntos!C18+NºAsuntos!E18)/NºAsuntos!G18),(NºAsuntos!C18+NºAsuntos!E18)/NºAsuntos!G18," - ")</f>
        <v>1.1359223300970873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268</v>
      </c>
      <c r="G23" s="1163">
        <f>SUBTOTAL(9,G16:G22)</f>
        <v>231</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2217</v>
      </c>
      <c r="X23" s="1164">
        <f t="shared" si="14"/>
        <v>47</v>
      </c>
      <c r="Y23" s="1165">
        <f t="shared" si="14"/>
        <v>2264</v>
      </c>
      <c r="Z23" s="1165">
        <f t="shared" si="14"/>
        <v>0</v>
      </c>
      <c r="AA23" s="1165">
        <f t="shared" si="14"/>
        <v>238</v>
      </c>
      <c r="AB23" s="1165">
        <f t="shared" si="14"/>
        <v>53</v>
      </c>
      <c r="AC23" s="1165">
        <f t="shared" si="14"/>
        <v>291</v>
      </c>
      <c r="AD23" s="1165">
        <f t="shared" si="14"/>
        <v>0</v>
      </c>
      <c r="AE23" s="1169">
        <f t="shared" si="14"/>
        <v>0</v>
      </c>
      <c r="AF23" s="1162">
        <f t="shared" si="14"/>
        <v>0</v>
      </c>
      <c r="AG23" s="1170">
        <f t="shared" si="14"/>
        <v>0</v>
      </c>
      <c r="AH23" s="1167">
        <f t="shared" si="14"/>
        <v>0</v>
      </c>
      <c r="AI23" s="1162">
        <f t="shared" si="14"/>
        <v>252</v>
      </c>
      <c r="AJ23" s="1164">
        <f t="shared" si="14"/>
        <v>0</v>
      </c>
      <c r="AK23" s="1167">
        <f t="shared" si="14"/>
        <v>0</v>
      </c>
      <c r="AL23" s="1171">
        <f>IF(ISNUMBER(NºAsuntos!G23/NºAsuntos!E23),NºAsuntos!G23/NºAsuntos!E23," - ")</f>
        <v>1.020718232044199</v>
      </c>
      <c r="AM23" s="1171">
        <f>IF(ISNUMBER(((NºAsuntos!I23/NºAsuntos!G23)*11)/factor_trimestre),((NºAsuntos!I23/NºAsuntos!G23)*11)/factor_trimestre," - ")</f>
        <v>1.1808750563824988</v>
      </c>
      <c r="AN23" s="1172">
        <f>IF(ISNUMBER('Resol  Asuntos'!D23/NºAsuntos!G23),'Resol  Asuntos'!D23/NºAsuntos!G23," - ")</f>
        <v>0.11366711772665765</v>
      </c>
      <c r="AO23" s="1173">
        <f>IF(ISNUMBER((NºAsuntos!C23+NºAsuntos!E23)/NºAsuntos!G23),(NºAsuntos!C23+NºAsuntos!E23)/NºAsuntos!G23," - ")</f>
        <v>1.0838971583220569</v>
      </c>
      <c r="AP23" s="1174" t="str">
        <f t="shared" si="2"/>
        <v xml:space="preserve"> - </v>
      </c>
      <c r="AQ23" s="1174">
        <f>IF(ISNUMBER((H23-W23+K23)/(F23)),(H23-W23+K23)/(F23)," - ")</f>
        <v>-8.2723880597014929</v>
      </c>
      <c r="AR23" s="1175">
        <f>IF(ISNUMBER((Datos!P23-Datos!Q23)/(Datos!R23-Datos!P23+Datos!Q23)),(Datos!P23-Datos!Q23)/(Datos!R23-Datos!P23+Datos!Q23)," - ")</f>
        <v>0.35897435897435898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273</v>
      </c>
      <c r="G31" s="1118">
        <f t="shared" si="20"/>
        <v>236</v>
      </c>
      <c r="H31" s="1117">
        <f t="shared" si="20"/>
        <v>0</v>
      </c>
      <c r="I31" s="1119">
        <f t="shared" si="20"/>
        <v>0</v>
      </c>
      <c r="J31" s="1119">
        <f t="shared" si="20"/>
        <v>0</v>
      </c>
      <c r="K31" s="1180">
        <f t="shared" si="20"/>
        <v>0</v>
      </c>
      <c r="L31" s="1119">
        <f t="shared" si="20"/>
        <v>313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2226</v>
      </c>
      <c r="X31" s="1118">
        <f t="shared" si="21"/>
        <v>348</v>
      </c>
      <c r="Y31" s="1125">
        <f t="shared" si="21"/>
        <v>2574</v>
      </c>
      <c r="Z31" s="1125">
        <f t="shared" si="21"/>
        <v>0</v>
      </c>
      <c r="AA31" s="1125">
        <f t="shared" si="21"/>
        <v>239</v>
      </c>
      <c r="AB31" s="1125">
        <f t="shared" si="21"/>
        <v>1371</v>
      </c>
      <c r="AC31" s="1125">
        <f t="shared" si="21"/>
        <v>299</v>
      </c>
      <c r="AD31" s="1125">
        <f t="shared" si="21"/>
        <v>0</v>
      </c>
      <c r="AE31" s="1127">
        <f t="shared" si="21"/>
        <v>0</v>
      </c>
      <c r="AF31" s="1128">
        <f t="shared" si="21"/>
        <v>0</v>
      </c>
      <c r="AG31" s="1129">
        <f t="shared" si="21"/>
        <v>0</v>
      </c>
      <c r="AH31" s="1127">
        <f t="shared" si="21"/>
        <v>0</v>
      </c>
      <c r="AI31" s="1117">
        <f t="shared" si="21"/>
        <v>474</v>
      </c>
      <c r="AJ31" s="1117">
        <f t="shared" si="21"/>
        <v>0</v>
      </c>
      <c r="AK31" s="1127">
        <f t="shared" si="21"/>
        <v>0</v>
      </c>
      <c r="AL31" s="1183">
        <f>IF(ISNUMBER(NºAsuntos!G31/NºAsuntos!E31),NºAsuntos!G31/NºAsuntos!E31," - ")</f>
        <v>0.93807956924917735</v>
      </c>
      <c r="AM31" s="1184">
        <f>IF(ISNUMBER(((NºAsuntos!I31/NºAsuntos!G31)*11)/factor_trimestre),((NºAsuntos!I31/NºAsuntos!G31)*11)/factor_trimestre," - ")</f>
        <v>4.46875</v>
      </c>
      <c r="AN31" s="1184">
        <f>IF(ISNUMBER('Resol  Asuntos'!D31/NºAsuntos!G31),'Resol  Asuntos'!D31/NºAsuntos!G31," - ")</f>
        <v>0.15114795918367346</v>
      </c>
      <c r="AO31" s="1185">
        <f>IF(ISNUMBER((NºAsuntos!C31+NºAsuntos!E31)/NºAsuntos!G31),(NºAsuntos!C31+NºAsuntos!E31)/NºAsuntos!G31," - ")</f>
        <v>1.3896683673469388</v>
      </c>
      <c r="AP31" s="1186" t="str">
        <f t="shared" si="2"/>
        <v xml:space="preserve"> - </v>
      </c>
      <c r="AQ31" s="1187">
        <f>IF(OR(ISNUMBER(FIND("01",Criterios!A8,1)),ISNUMBER(FIND("02",Criterios!A8,1)),ISNUMBER(FIND("03",Criterios!A8,1)),ISNUMBER(FIND("04",Criterios!A8,1))),(I31-W31+K31)/(F31-K31),(H31-W31+K31)/(F31-K31))</f>
        <v>-8.1538461538461533</v>
      </c>
      <c r="AR31" s="1188">
        <f>IF(ISNUMBER((Datos!P31-Datos!Q31)/(Datos!R31-Datos!P31+Datos!Q31)),(Datos!P31-Datos!Q31)/(Datos!R31-Datos!P31+Datos!Q31)," - ")</f>
        <v>-2.4893314366998577E-2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137.12184362821264</v>
      </c>
      <c r="G33" s="277">
        <f>IF(ISNUMBER(STDEV(G8:G30)),STDEV(G8:G30),"-")</f>
        <v>106.82205943040221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1045.895469601687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120.88601478843022</v>
      </c>
      <c r="AJ33" s="276">
        <f t="shared" si="25"/>
        <v>0</v>
      </c>
      <c r="AK33" s="278">
        <f t="shared" si="25"/>
        <v>0</v>
      </c>
      <c r="AL33" s="273">
        <f t="shared" si="25"/>
        <v>0.37590097742527484</v>
      </c>
      <c r="AM33" s="274">
        <f t="shared" si="25"/>
        <v>5.7797150072815979</v>
      </c>
      <c r="AN33" s="274">
        <f t="shared" si="25"/>
        <v>0.34387363324341208</v>
      </c>
      <c r="AO33" s="275">
        <f t="shared" si="25"/>
        <v>0.53189216963634167</v>
      </c>
      <c r="AP33" s="317" t="str">
        <f t="shared" si="25"/>
        <v>-</v>
      </c>
      <c r="AQ33" s="318">
        <f t="shared" si="25"/>
        <v>4.5766694874857654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gMbTL2HhzBjxjRvRJauiyhcqYckjge2/YMxT7DnwmEXnbRkMtQIY70t/J+HBdl5W5QLD/8PQhg1xJc5es00NA==" saltValue="Y8ILWm4paFEjUe2tPD/0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PUENTE GENIL</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-0.16666666666666666</v>
      </c>
      <c r="F10" s="393">
        <f>IF(ISNUMBER((Datos!K10-Datos!U10)/Datos!U10),(Datos!K10-Datos!U10)/Datos!U10," - ")</f>
        <v>1.25</v>
      </c>
      <c r="G10" s="394">
        <f>IF(ISNUMBER((Datos!L10-Datos!V10)/Datos!V10),(Datos!L10-Datos!V10)/Datos!V10," - ")</f>
        <v>-0.8</v>
      </c>
      <c r="H10" s="244">
        <f>IF(ISNUMBER((Datos!M10-Datos!W10)/Datos!W10),(Datos!M10-Datos!W10)/Datos!W10," - ")</f>
        <v>1.25</v>
      </c>
      <c r="I10" s="395">
        <f>IF(ISNUMBER((Tasas!C10-Datos!BE10)/Datos!BE10),(Tasas!C10-Datos!BE10)/Datos!BE10," - ")</f>
        <v>-0.91111111111111109</v>
      </c>
      <c r="J10" s="394">
        <f>IF(ISNUMBER((Tasas!D10-Datos!BF10)/Datos!BF10),(Tasas!D10-Datos!BF10)/Datos!BF10," - ")</f>
        <v>0</v>
      </c>
      <c r="K10" s="396">
        <f>IF(ISNUMBER((Tasas!E10-Datos!BG10)/Datos!BG10),(Tasas!E10-Datos!BG10)/Datos!BG10," - ")</f>
        <v>-0.50617283950617287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5.9701492537313432E-2</v>
      </c>
      <c r="I12" s="395">
        <f>IF(ISNUMBER((Tasas!C12-Datos!BE12)/Datos!BE12),(Tasas!C12-Datos!BE12)/Datos!BE12," - ")</f>
        <v>0.82941641157302259</v>
      </c>
      <c r="J12" s="394">
        <f>IF(ISNUMBER((Tasas!D12-Datos!BF12)/Datos!BF12),(Tasas!D12-Datos!BF12)/Datos!BF12," - ")</f>
        <v>-0.21160049627791555</v>
      </c>
      <c r="K12" s="396">
        <f>IF(ISNUMBER((Tasas!E12-Datos!BG12)/Datos!BG12),(Tasas!E12-Datos!BG12)/Datos!BG12," - ")</f>
        <v>0.31861909631481272</v>
      </c>
      <c r="M12" t="e">
        <f>IF(Monitorios="SI",Datos!CE12,0)</f>
        <v>#REF!</v>
      </c>
      <c r="N12" t="e">
        <f>IF(Monitorios="SI",Datos!CF12,0)</f>
        <v>#REF!</v>
      </c>
      <c r="O12" t="e">
        <f>IF(Monitorios="SI",Datos!CG12,0)</f>
        <v>#REF!</v>
      </c>
      <c r="P12" t="e">
        <f>IF(Monitorios="SI",Datos!CH12,0)</f>
        <v>#REF!</v>
      </c>
      <c r="Q12">
        <f>IF(J_V="SI",0,Datos!AG12)</f>
        <v>36</v>
      </c>
      <c r="R12">
        <f>IF(J_V="SI",0,Datos!AH12)</f>
        <v>96</v>
      </c>
      <c r="S12">
        <f>IF(J_V="SI",0,Datos!AI12)</f>
        <v>104</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8.2926829268292687E-2</v>
      </c>
      <c r="I14" s="402">
        <f>IF(ISNUMBER((Tasas!C14-Datos!BE14)/Datos!BE14),(Tasas!C14-Datos!BE14)/Datos!BE14," - ")</f>
        <v>0.80743820923363907</v>
      </c>
      <c r="J14" s="400">
        <f>IF(ISNUMBER((Tasas!D14-Datos!BF14)/Datos!BF14),(Tasas!D14-Datos!BF14)/Datos!BF14," - ")</f>
        <v>-0.1924212256615655</v>
      </c>
      <c r="K14" s="403">
        <f>IF(ISNUMBER((Tasas!E14-Datos!BG14)/Datos!BG14),(Tasas!E14-Datos!BG14)/Datos!BG14," - ")</f>
        <v>0.31079978237214378</v>
      </c>
      <c r="M14" t="e">
        <f>IF(Monitorios="SI",Datos!CE14,0)</f>
        <v>#REF!</v>
      </c>
      <c r="N14" t="e">
        <f>IF(Monitorios="SI",Datos!CF14,0)</f>
        <v>#REF!</v>
      </c>
      <c r="O14" t="e">
        <f>IF(Monitorios="SI",Datos!CG14,0)</f>
        <v>#REF!</v>
      </c>
      <c r="P14" t="e">
        <f>IF(Monitorios="SI",Datos!CH14,0)</f>
        <v>#REF!</v>
      </c>
      <c r="Q14">
        <f>IF(J_V="SI",0,Datos!AG14)</f>
        <v>36</v>
      </c>
      <c r="R14">
        <f>IF(J_V="SI",0,Datos!AH14)</f>
        <v>96</v>
      </c>
      <c r="S14">
        <f>IF(J_V="SI",0,Datos!AI14)</f>
        <v>104</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-0.34545454545454546</v>
      </c>
      <c r="E17" s="393">
        <f>IF(ISNUMBER(
   IF(D_I="SI",(Datos!J17-Datos!T17)/Datos!T17,(Datos!J17+Datos!AD17-(Datos!T17+Datos!AL17))/(Datos!T17+Datos!AL17))
     ),IF(D_I="SI",(Datos!J17-Datos!T17)/Datos!T17,(Datos!J17+Datos!AD17-(Datos!T17+Datos!AL17))/(Datos!T17+Datos!AL17))," - ")</f>
        <v>-5.0458715596330278E-2</v>
      </c>
      <c r="F17" s="393">
        <f>IF(ISNUMBER(
   IF(D_I="SI",(Datos!K17-Datos!U17)/Datos!U17,(Datos!K17+Datos!AE17-(Datos!U17+Datos!AM17))/(Datos!U17+Datos!AM17))
     ),IF(D_I="SI",(Datos!K17-Datos!U17)/Datos!U17,(Datos!K17+Datos!AE17-(Datos!U17+Datos!AM17))/(Datos!U17+Datos!AM17))," - ")</f>
        <v>-9.6581196581196585E-2</v>
      </c>
      <c r="G17" s="394">
        <f>IF(ISNUMBER(
   IF(D_I="SI",(Datos!L17-Datos!V17)/Datos!V17,(Datos!L17+Datos!AF17-(Datos!V17+Datos!AN17))/(Datos!V17+Datos!AN17))
     ),IF(D_I="SI",(Datos!L17-Datos!V17)/Datos!V17,(Datos!L17+Datos!AF17-(Datos!V17+Datos!AN17))/(Datos!V17+Datos!AN17))," - ")</f>
        <v>3.7037037037037035E-2</v>
      </c>
      <c r="H17" s="244">
        <f>IF(ISNUMBER((Datos!M17-Datos!W17)/Datos!W17),(Datos!M17-Datos!W17)/Datos!W17," - ")</f>
        <v>-0.21782178217821782</v>
      </c>
      <c r="I17" s="395">
        <f>IF(ISNUMBER((Tasas!C17-Datos!BE17)/Datos!BE17),(Tasas!C17-Datos!BE17)/Datos!BE17," - ")</f>
        <v>0.14790286975717432</v>
      </c>
      <c r="J17" s="394">
        <f>IF(ISNUMBER((Tasas!D17-Datos!BF17)/Datos!BF17),(Tasas!D17-Datos!BF17)/Datos!BF17," - ")</f>
        <v>-0.13420197270436601</v>
      </c>
      <c r="K17" s="396">
        <f>IF(ISNUMBER((Tasas!E17-Datos!BG17)/Datos!BG17),(Tasas!E17-Datos!BG17)/Datos!BG17," - ")</f>
        <v>8.12266544041426E-3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0.59375</v>
      </c>
      <c r="F18" s="393">
        <f>IF(ISNUMBER(
   IF(D_I="SI",(Datos!K18-Datos!U18)/Datos!U18,(Datos!K18+Datos!AE18-(Datos!U18+Datos!AM18))/(Datos!U18+Datos!AM18))
     ),IF(D_I="SI",(Datos!K18-Datos!U18)/Datos!U18,(Datos!K18+Datos!AE18-(Datos!U18+Datos!AM18))/(Datos!U18+Datos!AM18))," - ")</f>
        <v>0.47142857142857142</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0.25</v>
      </c>
      <c r="I18" s="395">
        <f>IF(ISNUMBER((Tasas!C18-Datos!BE18)/Datos!BE18),(Tasas!C18-Datos!BE18)/Datos!BE18," - ")</f>
        <v>-0.36569579288025889</v>
      </c>
      <c r="J18" s="394">
        <f>IF(ISNUMBER((Tasas!D18-Datos!BF18)/Datos!BF18),(Tasas!D18-Datos!BF18)/Datos!BF18," - ")</f>
        <v>-0.15048543689320396</v>
      </c>
      <c r="K18" s="396">
        <f>IF(ISNUMBER((Tasas!E18-Datos!BG18)/Datos!BG18),(Tasas!E18-Datos!BG18)/Datos!BG18," - ")</f>
        <v>-6.4534551684751543E-2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-0.34188034188034189</v>
      </c>
      <c r="E23" s="399">
        <f>IF(ISNUMBER(
   IF(D_I="SI",(Datos!J23-Datos!T23)/Datos!T23,(Datos!J23+Datos!AD23-(Datos!T23+Datos!AL23))/(Datos!T23+Datos!AL23))
     ),IF(D_I="SI",(Datos!J23-Datos!T23)/Datos!T23,(Datos!J23+Datos!AD23-(Datos!T23+Datos!AL23))/(Datos!T23+Datos!AL23))," - ")</f>
        <v>-3.2085561497326207E-2</v>
      </c>
      <c r="F23" s="399">
        <f>IF(ISNUMBER(
   IF(D_I="SI",(Datos!K23-Datos!U23)/Datos!U23,(Datos!K23+Datos!AE23-(Datos!U23+Datos!AM23))/(Datos!U23+Datos!AM23))
     ),IF(D_I="SI",(Datos!K23-Datos!U23)/Datos!U23,(Datos!K23+Datos!AE23-(Datos!U23+Datos!AM23))/(Datos!U23+Datos!AM23))," - ")</f>
        <v>-8.0082987551867227E-2</v>
      </c>
      <c r="G23" s="400">
        <f>IF(ISNUMBER(
   IF(D_I="SI",(Datos!L23-Datos!V23)/Datos!V23,(Datos!L23+Datos!AF23-(Datos!V23+Datos!AN23))/(Datos!V23+Datos!AN23))
     ),IF(D_I="SI",(Datos!L23-Datos!V23)/Datos!V23,(Datos!L23+Datos!AF23-(Datos!V23+Datos!AN23))/(Datos!V23+Datos!AN23))," - ")</f>
        <v>3.0303030303030304E-2</v>
      </c>
      <c r="H23" s="401">
        <f>IF(ISNUMBER((Datos!M23-Datos!W23)/Datos!W23),(Datos!M23-Datos!W23)/Datos!W23," - ")</f>
        <v>-0.2</v>
      </c>
      <c r="I23" s="402">
        <f>IF(ISNUMBER((Tasas!C23-Datos!BE23)/Datos!BE23),(Tasas!C23-Datos!BE23)/Datos!BE23," - ")</f>
        <v>0.11999562608493584</v>
      </c>
      <c r="J23" s="400">
        <f>IF(ISNUMBER((Tasas!D23-Datos!BF23)/Datos!BF23),(Tasas!D23-Datos!BF23)/Datos!BF23," - ")</f>
        <v>-0.13035633739287328</v>
      </c>
      <c r="K23" s="403">
        <f>IF(ISNUMBER((Tasas!E23-Datos!BG23)/Datos!BG23),(Tasas!E23-Datos!BG23)/Datos!BG23," - ")</f>
        <v>6.6251065727002973E-3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-0.26502534395365679</v>
      </c>
      <c r="E31" s="409">
        <f>IF(ISNUMBER(
   IF(J_V="SI",(Datos!J31-Datos!T31)/Datos!T31,(Datos!J31+Datos!Z31-(Datos!T31+Datos!AH31))/(Datos!T31+Datos!AH31))
     ),IF(J_V="SI",(Datos!J31-Datos!T31)/Datos!T31,(Datos!J31+Datos!Z31-(Datos!T31+Datos!AH31))/(Datos!T31+Datos!AH31))," - ")</f>
        <v>2.7350952673632453E-2</v>
      </c>
      <c r="F31" s="409">
        <f>IF(ISNUMBER(
   IF(J_V="SI",(Datos!K31-Datos!U31)/Datos!U31,(Datos!K31+Datos!AA31-(Datos!U31+Datos!AI31))/(Datos!U31+Datos!AI31))
     ),IF(J_V="SI",(Datos!K31-Datos!U31)/Datos!U31,(Datos!K31+Datos!AA31-(Datos!U31+Datos!AI31))/(Datos!U31+Datos!AI31))," - ")</f>
        <v>-0.14480501772566132</v>
      </c>
      <c r="G31" s="410">
        <f>IF(ISNUMBER(
   IF(J_V="SI",(Datos!L31-Datos!V31)/Datos!V31,(Datos!L31+Datos!AB31-(Datos!V31+Datos!AJ31))/(Datos!V31+Datos!AJ31))
     ),IF(J_V="SI",(Datos!L31-Datos!V31)/Datos!V31,(Datos!L31+Datos!AB31-(Datos!V31+Datos!AJ31))/(Datos!V31+Datos!AJ31))," - ")</f>
        <v>0.25517241379310346</v>
      </c>
      <c r="H31" s="411">
        <f>IF(ISNUMBER((Datos!M31-Datos!W31)/Datos!W31),(Datos!M31-Datos!W31)/Datos!W31," - ")</f>
        <v>-8.8461538461538466E-2</v>
      </c>
      <c r="I31" s="408">
        <f>IF(ISNUMBER((Tasas!C31-Datos!BE31)/Datos!BE31),(Tasas!C31-Datos!BE31)/Datos!BE31," - ")</f>
        <v>0.46770320197044335</v>
      </c>
      <c r="J31" s="409">
        <f>IF(ISNUMBER((Tasas!D31-Datos!BF31)/Datos!BF31),(Tasas!D31-Datos!BF31)/Datos!BF31," - ")</f>
        <v>-0.19788774771847967</v>
      </c>
      <c r="K31" s="410">
        <f>IF(ISNUMBER((Tasas!E31-Datos!BG31)/Datos!BG31),(Tasas!E31-Datos!BG31)/Datos!BG31," - ")</f>
        <v>9.9442050282896405E-2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0.49626288349045689</v>
      </c>
      <c r="E33" s="303">
        <f t="shared" si="1"/>
        <v>0.34361587817182143</v>
      </c>
      <c r="F33" s="303">
        <f t="shared" si="1"/>
        <v>0.63348555819459573</v>
      </c>
      <c r="G33" s="304">
        <f t="shared" si="1"/>
        <v>0.40290764330663392</v>
      </c>
      <c r="H33" s="310">
        <f t="shared" si="1"/>
        <v>0.54274529559072193</v>
      </c>
      <c r="I33" s="302">
        <f t="shared" si="1"/>
        <v>0.67443305327279657</v>
      </c>
      <c r="J33" s="303">
        <f t="shared" si="1"/>
        <v>7.4348013115473358E-2</v>
      </c>
      <c r="K33" s="304">
        <f t="shared" si="1"/>
        <v>0.30255603701472716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Piclem3+hWassneiYUUk+pjicBzeHumMaHnSsfFIHx+4J45GbWKbNM3q3Y4029MA1vfa5uDXEBPDYilOTiTVw==" saltValue="rQRzWXFPDtiP4G7ruegS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